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S:\Penzugy\2023\2023. 1. félév\MNB\"/>
    </mc:Choice>
  </mc:AlternateContent>
  <xr:revisionPtr revIDLastSave="0" documentId="8_{56BBE1D5-D14D-4E8E-84FB-A0196807F455}" xr6:coauthVersionLast="47" xr6:coauthVersionMax="47" xr10:uidLastSave="{00000000-0000-0000-0000-000000000000}"/>
  <bookViews>
    <workbookView xWindow="-120" yWindow="-120" windowWidth="29040" windowHeight="15840" tabRatio="988" firstSheet="4" activeTab="4" xr2:uid="{00000000-000D-0000-FFFF-FFFF00000000}"/>
  </bookViews>
  <sheets>
    <sheet name="Alapadatok" sheetId="1" state="hidden" r:id="rId1"/>
    <sheet name="Adatbevitel" sheetId="2" state="hidden" r:id="rId2"/>
    <sheet name="Beszámoló" sheetId="3" state="hidden" r:id="rId3"/>
    <sheet name="Kieg. mell., elemzések" sheetId="4" state="hidden" r:id="rId4"/>
    <sheet name="Borító" sheetId="5" r:id="rId5"/>
    <sheet name="Ellenőr" sheetId="6" state="hidden" r:id="rId6"/>
    <sheet name="Mérleg" sheetId="7" r:id="rId7"/>
    <sheet name="ER-Összk" sheetId="8" r:id="rId8"/>
    <sheet name="ER-Forg" sheetId="9" state="hidden" r:id="rId9"/>
    <sheet name="Cash-flow " sheetId="40" state="hidden" r:id="rId10"/>
    <sheet name="MérlE_borító" sheetId="11" state="hidden" r:id="rId11"/>
    <sheet name="Mérl_Egysz" sheetId="12" state="hidden" r:id="rId12"/>
    <sheet name="Er-Ö_Egy" sheetId="13" state="hidden" r:id="rId13"/>
    <sheet name="Er-F_Egy" sheetId="14" state="hidden" r:id="rId14"/>
    <sheet name="Deviza_uj" sheetId="29" state="hidden" r:id="rId15"/>
    <sheet name="Hatidőn_túli" sheetId="31" state="hidden" r:id="rId16"/>
    <sheet name="Nyelv" sheetId="36" state="hidden" r:id="rId17"/>
    <sheet name="Nyelv_old" sheetId="37" state="hidden" r:id="rId18"/>
  </sheets>
  <externalReferences>
    <externalReference r:id="rId19"/>
  </externalReferences>
  <definedNames>
    <definedName name="A_II_L2" localSheetId="14">#REF!</definedName>
    <definedName name="A_II_L2">#REF!</definedName>
    <definedName name="A_III_L2_" localSheetId="14">#REF!</definedName>
    <definedName name="A_III_L2_">#REF!</definedName>
    <definedName name="Excel_BuiltIn_Print_Area" localSheetId="14">Deviza_uj!#REF!</definedName>
    <definedName name="Excel_BuiltIn_Print_Titles" localSheetId="14">Deviza_uj!#REF!</definedName>
    <definedName name="_xlnm.Print_Titles" localSheetId="3">'Kieg. mell., elemzések'!$1:$5</definedName>
    <definedName name="_xlnm.Print_Area" localSheetId="1">Adatbevitel!$A$1:$E$206</definedName>
    <definedName name="_xlnm.Print_Area" localSheetId="0">Alapadatok!$A$1:$F$31</definedName>
    <definedName name="_xlnm.Print_Area" localSheetId="2">Beszámoló!$A$1:$C$25</definedName>
    <definedName name="_xlnm.Print_Area" localSheetId="4">Borító!$A$1:$W$44</definedName>
    <definedName name="_xlnm.Print_Area" localSheetId="14">Deviza_uj!$A$1:$K$62</definedName>
    <definedName name="_xlnm.Print_Area" localSheetId="5">Ellenőr!$A$1:$C$17</definedName>
    <definedName name="_xlnm.Print_Area" localSheetId="13">'Er-F_Egy'!$A$1:$G$41</definedName>
    <definedName name="_xlnm.Print_Area" localSheetId="8">'ER-Forg'!$A$1:$G$81</definedName>
    <definedName name="_xlnm.Print_Area" localSheetId="12">'Er-Ö_Egy'!$A$1:$G$42</definedName>
    <definedName name="_xlnm.Print_Area" localSheetId="7">'ER-Összk'!$A$1:$G$85</definedName>
    <definedName name="_xlnm.Print_Area" localSheetId="15">Hatidőn_túli!$A$1:$C$39</definedName>
    <definedName name="_xlnm.Print_Area" localSheetId="3">'Kieg. mell., elemzések'!$A$1:$G$94</definedName>
    <definedName name="_xlnm.Print_Area" localSheetId="11">Mérl_Egysz!$A$1:$G$48</definedName>
    <definedName name="_xlnm.Print_Area" localSheetId="10">MérlE_borító!$A$1:$W$45</definedName>
    <definedName name="_xlnm.Print_Area" localSheetId="6">Mérleg!$A$1:$G$176</definedName>
  </definedNames>
  <calcPr calcId="181029"/>
  <pivotCaches>
    <pivotCache cacheId="0" r:id="rId20"/>
  </pivotCaches>
</workbook>
</file>

<file path=xl/calcChain.xml><?xml version="1.0" encoding="utf-8"?>
<calcChain xmlns="http://schemas.openxmlformats.org/spreadsheetml/2006/main">
  <c r="G33" i="8" l="1"/>
  <c r="G19" i="8" l="1"/>
  <c r="F33" i="8" l="1"/>
  <c r="G159" i="7" l="1"/>
  <c r="G160" i="7"/>
  <c r="G161" i="7"/>
  <c r="G162" i="7"/>
  <c r="G83" i="7" l="1"/>
  <c r="G17" i="7"/>
  <c r="G18" i="7"/>
  <c r="G16" i="7"/>
  <c r="G19" i="7"/>
  <c r="G20" i="7"/>
  <c r="G158" i="7" l="1"/>
  <c r="G33" i="7" l="1"/>
  <c r="G31" i="7"/>
  <c r="E33" i="7"/>
  <c r="E31" i="7"/>
  <c r="AA4" i="40"/>
  <c r="J4" i="40"/>
  <c r="H86" i="40" l="1"/>
  <c r="H82" i="40"/>
  <c r="H78" i="40"/>
  <c r="H68" i="40"/>
  <c r="F13" i="40" s="1"/>
  <c r="D52" i="40"/>
  <c r="C47" i="40"/>
  <c r="B44" i="40"/>
  <c r="D43" i="40"/>
  <c r="C43" i="40" s="1"/>
  <c r="D42" i="40"/>
  <c r="C42" i="40" s="1"/>
  <c r="D41" i="40"/>
  <c r="C41" i="40" s="1"/>
  <c r="D40" i="40"/>
  <c r="C40" i="40"/>
  <c r="D39" i="40"/>
  <c r="C39" i="40" s="1"/>
  <c r="D38" i="40"/>
  <c r="C38" i="40" s="1"/>
  <c r="D37" i="40"/>
  <c r="C37" i="40" s="1"/>
  <c r="D36" i="40"/>
  <c r="C36" i="40"/>
  <c r="C35" i="40"/>
  <c r="C34" i="40"/>
  <c r="C33" i="40"/>
  <c r="B32" i="40"/>
  <c r="B46" i="40" s="1"/>
  <c r="B48" i="40" s="1"/>
  <c r="D31" i="40"/>
  <c r="C31" i="40"/>
  <c r="D30" i="40"/>
  <c r="C30" i="40" s="1"/>
  <c r="D29" i="40"/>
  <c r="C29" i="40" s="1"/>
  <c r="E28" i="40"/>
  <c r="F27" i="40"/>
  <c r="E27" i="40"/>
  <c r="C26" i="40"/>
  <c r="C25" i="40"/>
  <c r="C24" i="40"/>
  <c r="C23" i="40"/>
  <c r="B22" i="40"/>
  <c r="D21" i="40"/>
  <c r="C21" i="40" s="1"/>
  <c r="D20" i="40"/>
  <c r="D15" i="40"/>
  <c r="C15" i="40" s="1"/>
  <c r="J11" i="40"/>
  <c r="I11" i="40"/>
  <c r="H11" i="40"/>
  <c r="G11" i="40"/>
  <c r="F11" i="40"/>
  <c r="E11" i="40"/>
  <c r="F10" i="40"/>
  <c r="E10" i="40"/>
  <c r="Q9" i="40"/>
  <c r="Q52" i="40" s="1"/>
  <c r="AB5" i="40"/>
  <c r="Z5" i="40"/>
  <c r="Z14" i="40" s="1"/>
  <c r="D14" i="40" s="1"/>
  <c r="C14" i="40" s="1"/>
  <c r="Y5" i="40"/>
  <c r="Y52" i="40" s="1"/>
  <c r="X5" i="40"/>
  <c r="X52" i="40" s="1"/>
  <c r="W5" i="40"/>
  <c r="W12" i="40" s="1"/>
  <c r="D12" i="40" s="1"/>
  <c r="C12" i="40" s="1"/>
  <c r="V5" i="40"/>
  <c r="V52" i="40" s="1"/>
  <c r="U5" i="40"/>
  <c r="U52" i="40" s="1"/>
  <c r="T5" i="40"/>
  <c r="T52" i="40" s="1"/>
  <c r="S5" i="40"/>
  <c r="S52" i="40" s="1"/>
  <c r="R5" i="40"/>
  <c r="R52" i="40" s="1"/>
  <c r="Q5" i="40"/>
  <c r="P5" i="40"/>
  <c r="P52" i="40" s="1"/>
  <c r="O5" i="40"/>
  <c r="O52" i="40" s="1"/>
  <c r="N5" i="40"/>
  <c r="N52" i="40" s="1"/>
  <c r="M5" i="40"/>
  <c r="L5" i="40"/>
  <c r="L52" i="40" s="1"/>
  <c r="D57" i="40" s="1"/>
  <c r="K5" i="40"/>
  <c r="K18" i="40" s="1"/>
  <c r="I5" i="40"/>
  <c r="H5" i="40"/>
  <c r="G5" i="40"/>
  <c r="G52" i="40" s="1"/>
  <c r="F5" i="40"/>
  <c r="E5" i="40"/>
  <c r="AA5" i="40"/>
  <c r="AA52" i="40" s="1"/>
  <c r="H18" i="40" l="1"/>
  <c r="H52" i="40" s="1"/>
  <c r="M19" i="40"/>
  <c r="D19" i="40" s="1"/>
  <c r="C19" i="40" s="1"/>
  <c r="W52" i="40"/>
  <c r="D11" i="40"/>
  <c r="D44" i="40"/>
  <c r="C44" i="40" s="1"/>
  <c r="I17" i="40"/>
  <c r="D17" i="40" s="1"/>
  <c r="C17" i="40" s="1"/>
  <c r="AC4" i="40"/>
  <c r="D27" i="40"/>
  <c r="C27" i="40" s="1"/>
  <c r="D13" i="40"/>
  <c r="C13" i="40" s="1"/>
  <c r="F28" i="40"/>
  <c r="D28" i="40" s="1"/>
  <c r="C28" i="40" s="1"/>
  <c r="J5" i="40"/>
  <c r="E52" i="40"/>
  <c r="I52" i="40"/>
  <c r="Z52" i="40"/>
  <c r="K52" i="40"/>
  <c r="AB16" i="40"/>
  <c r="D16" i="40" s="1"/>
  <c r="C16" i="40" s="1"/>
  <c r="M52" i="40" l="1"/>
  <c r="F52" i="40"/>
  <c r="J18" i="40"/>
  <c r="D18" i="40" s="1"/>
  <c r="C18" i="40" s="1"/>
  <c r="D32" i="40"/>
  <c r="AB52" i="40"/>
  <c r="AC5" i="40"/>
  <c r="AC52" i="40" s="1"/>
  <c r="G60" i="7"/>
  <c r="J52" i="40" l="1"/>
  <c r="D22" i="40"/>
  <c r="C22" i="40" s="1"/>
  <c r="C32" i="40"/>
  <c r="D46" i="40" l="1"/>
  <c r="D48" i="40" s="1"/>
  <c r="C48" i="40" s="1"/>
  <c r="D58" i="40" l="1"/>
  <c r="D53" i="40"/>
  <c r="C46" i="40"/>
  <c r="G72" i="7" l="1"/>
  <c r="G13" i="8"/>
  <c r="C188" i="2"/>
  <c r="E56" i="9" s="1"/>
  <c r="E28" i="31"/>
  <c r="G19" i="13"/>
  <c r="G84" i="7"/>
  <c r="E9" i="37"/>
  <c r="F9" i="37"/>
  <c r="G9" i="37"/>
  <c r="E11" i="37"/>
  <c r="F11" i="37"/>
  <c r="G11" i="37"/>
  <c r="E12" i="37"/>
  <c r="F12" i="37"/>
  <c r="G12" i="37"/>
  <c r="E13" i="37"/>
  <c r="F13" i="37"/>
  <c r="G13" i="37"/>
  <c r="F3" i="36"/>
  <c r="F5" i="36"/>
  <c r="F6" i="36"/>
  <c r="F7" i="36"/>
  <c r="F8" i="36"/>
  <c r="F9" i="36"/>
  <c r="A1" i="31"/>
  <c r="A2" i="31"/>
  <c r="B12" i="31"/>
  <c r="C8" i="31" s="1"/>
  <c r="A1" i="29"/>
  <c r="A2" i="29"/>
  <c r="G16" i="29"/>
  <c r="H16" i="29"/>
  <c r="I16" i="29" s="1"/>
  <c r="G17" i="29"/>
  <c r="H17" i="29"/>
  <c r="I17" i="29" s="1"/>
  <c r="G18" i="29"/>
  <c r="H18" i="29"/>
  <c r="I18" i="29" s="1"/>
  <c r="G19" i="29"/>
  <c r="H19" i="29"/>
  <c r="I19" i="29" s="1"/>
  <c r="G20" i="29"/>
  <c r="H20" i="29"/>
  <c r="I20" i="29" s="1"/>
  <c r="G21" i="29"/>
  <c r="H21" i="29"/>
  <c r="I21" i="29" s="1"/>
  <c r="K21" i="29" s="1"/>
  <c r="G22" i="29"/>
  <c r="H22" i="29"/>
  <c r="I22" i="29" s="1"/>
  <c r="J22" i="29" s="1"/>
  <c r="G23" i="29"/>
  <c r="H23" i="29"/>
  <c r="I23" i="29" s="1"/>
  <c r="G24" i="29"/>
  <c r="H24" i="29"/>
  <c r="I24" i="29" s="1"/>
  <c r="G25" i="29"/>
  <c r="H25" i="29"/>
  <c r="I25" i="29" s="1"/>
  <c r="G26" i="29"/>
  <c r="H26" i="29"/>
  <c r="I26" i="29" s="1"/>
  <c r="G27" i="29"/>
  <c r="H27" i="29"/>
  <c r="I27" i="29" s="1"/>
  <c r="J27" i="29" s="1"/>
  <c r="G28" i="29"/>
  <c r="H28" i="29"/>
  <c r="I28" i="29" s="1"/>
  <c r="G29" i="29"/>
  <c r="H29" i="29"/>
  <c r="I29" i="29" s="1"/>
  <c r="G30" i="29"/>
  <c r="H30" i="29"/>
  <c r="I30" i="29" s="1"/>
  <c r="K30" i="29" s="1"/>
  <c r="G31" i="29"/>
  <c r="H31" i="29"/>
  <c r="I31" i="29" s="1"/>
  <c r="G32" i="29"/>
  <c r="H32" i="29"/>
  <c r="I32" i="29" s="1"/>
  <c r="G33" i="29"/>
  <c r="H33" i="29"/>
  <c r="I33" i="29" s="1"/>
  <c r="G34" i="29"/>
  <c r="H34" i="29"/>
  <c r="I34" i="29"/>
  <c r="J34" i="29" s="1"/>
  <c r="G35" i="29"/>
  <c r="H35" i="29"/>
  <c r="I35" i="29" s="1"/>
  <c r="J35" i="29" s="1"/>
  <c r="E36" i="29"/>
  <c r="G36" i="29" s="1"/>
  <c r="F36" i="29"/>
  <c r="G42" i="29"/>
  <c r="H42" i="29"/>
  <c r="I42" i="29" s="1"/>
  <c r="K42" i="29" s="1"/>
  <c r="G43" i="29"/>
  <c r="H43" i="29"/>
  <c r="I43" i="29" s="1"/>
  <c r="G44" i="29"/>
  <c r="H44" i="29"/>
  <c r="I44" i="29" s="1"/>
  <c r="G45" i="29"/>
  <c r="H45" i="29"/>
  <c r="I45" i="29" s="1"/>
  <c r="K45" i="29" s="1"/>
  <c r="G46" i="29"/>
  <c r="H46" i="29"/>
  <c r="I46" i="29" s="1"/>
  <c r="G47" i="29"/>
  <c r="H47" i="29"/>
  <c r="I47" i="29" s="1"/>
  <c r="G48" i="29"/>
  <c r="H48" i="29"/>
  <c r="I48" i="29" s="1"/>
  <c r="G49" i="29"/>
  <c r="H49" i="29"/>
  <c r="I49" i="29" s="1"/>
  <c r="G50" i="29"/>
  <c r="H50" i="29"/>
  <c r="I50" i="29" s="1"/>
  <c r="J50" i="29" s="1"/>
  <c r="G51" i="29"/>
  <c r="H51" i="29"/>
  <c r="I51" i="29"/>
  <c r="J51" i="29" s="1"/>
  <c r="G52" i="29"/>
  <c r="H52" i="29"/>
  <c r="I52" i="29" s="1"/>
  <c r="K52" i="29" s="1"/>
  <c r="G53" i="29"/>
  <c r="H53" i="29"/>
  <c r="I53" i="29" s="1"/>
  <c r="G54" i="29"/>
  <c r="H54" i="29"/>
  <c r="I54" i="29" s="1"/>
  <c r="K54" i="29" s="1"/>
  <c r="G55" i="29"/>
  <c r="H55" i="29"/>
  <c r="I55" i="29" s="1"/>
  <c r="J55" i="29" s="1"/>
  <c r="G56" i="29"/>
  <c r="H56" i="29"/>
  <c r="I56" i="29" s="1"/>
  <c r="G57" i="29"/>
  <c r="H57" i="29"/>
  <c r="I57" i="29" s="1"/>
  <c r="G58" i="29"/>
  <c r="H58" i="29"/>
  <c r="I58" i="29" s="1"/>
  <c r="J58" i="29" s="1"/>
  <c r="G59" i="29"/>
  <c r="H59" i="29"/>
  <c r="I59" i="29" s="1"/>
  <c r="G60" i="29"/>
  <c r="H60" i="29"/>
  <c r="I60" i="29" s="1"/>
  <c r="G61" i="29"/>
  <c r="H61" i="29"/>
  <c r="I61" i="29" s="1"/>
  <c r="E62" i="29"/>
  <c r="F62" i="29"/>
  <c r="A1" i="14"/>
  <c r="A2" i="14"/>
  <c r="A4" i="14"/>
  <c r="F10" i="14"/>
  <c r="A11" i="14"/>
  <c r="B11" i="14"/>
  <c r="E11" i="14"/>
  <c r="F11" i="14"/>
  <c r="G11" i="14"/>
  <c r="A28" i="14"/>
  <c r="A1" i="13"/>
  <c r="A2" i="13"/>
  <c r="A4" i="13"/>
  <c r="F10" i="13"/>
  <c r="A11" i="13"/>
  <c r="B11" i="13"/>
  <c r="E11" i="13"/>
  <c r="F11" i="13"/>
  <c r="G11" i="13"/>
  <c r="E15" i="13"/>
  <c r="F15" i="13"/>
  <c r="G15" i="13"/>
  <c r="E18" i="13"/>
  <c r="F18" i="13"/>
  <c r="G18" i="13"/>
  <c r="E19" i="13"/>
  <c r="F19" i="13"/>
  <c r="E25" i="13"/>
  <c r="F25" i="13"/>
  <c r="A29" i="13"/>
  <c r="A1" i="12"/>
  <c r="A2" i="12"/>
  <c r="A4" i="12"/>
  <c r="A9" i="12"/>
  <c r="F10" i="12"/>
  <c r="A11" i="12"/>
  <c r="B11" i="12"/>
  <c r="E11" i="12"/>
  <c r="F11" i="12"/>
  <c r="G11" i="12"/>
  <c r="E29" i="12"/>
  <c r="F29" i="12"/>
  <c r="G29" i="12"/>
  <c r="E30" i="12"/>
  <c r="F30" i="12"/>
  <c r="G30" i="12"/>
  <c r="E31" i="12"/>
  <c r="F31" i="12"/>
  <c r="G31" i="12"/>
  <c r="E32" i="12"/>
  <c r="F32" i="12"/>
  <c r="G32" i="12"/>
  <c r="E33" i="12"/>
  <c r="F33" i="12"/>
  <c r="G33" i="12"/>
  <c r="E34" i="12"/>
  <c r="F34" i="12"/>
  <c r="G34" i="12"/>
  <c r="F36" i="12"/>
  <c r="A46" i="12"/>
  <c r="A1" i="11"/>
  <c r="B1" i="11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A4" i="11"/>
  <c r="B4" i="11"/>
  <c r="D4" i="11"/>
  <c r="E4" i="11"/>
  <c r="G4" i="11"/>
  <c r="H4" i="11"/>
  <c r="I4" i="11"/>
  <c r="J4" i="11"/>
  <c r="K4" i="11"/>
  <c r="L4" i="11"/>
  <c r="A12" i="11"/>
  <c r="A15" i="11"/>
  <c r="I24" i="11"/>
  <c r="A30" i="11"/>
  <c r="A43" i="11"/>
  <c r="A1" i="9"/>
  <c r="A2" i="9"/>
  <c r="A4" i="9"/>
  <c r="A6" i="9"/>
  <c r="F10" i="9"/>
  <c r="A11" i="9"/>
  <c r="B11" i="9"/>
  <c r="E11" i="9"/>
  <c r="F11" i="9"/>
  <c r="G11" i="9"/>
  <c r="B13" i="9"/>
  <c r="B14" i="9"/>
  <c r="B15" i="9"/>
  <c r="B16" i="9"/>
  <c r="E16" i="9"/>
  <c r="F16" i="9"/>
  <c r="G16" i="9"/>
  <c r="B17" i="9"/>
  <c r="B18" i="9"/>
  <c r="B19" i="9"/>
  <c r="B20" i="9"/>
  <c r="B21" i="9"/>
  <c r="E21" i="9"/>
  <c r="F21" i="9"/>
  <c r="G21" i="9"/>
  <c r="B22" i="9"/>
  <c r="E22" i="9"/>
  <c r="F22" i="9"/>
  <c r="G22" i="9"/>
  <c r="B23" i="9"/>
  <c r="E23" i="9"/>
  <c r="F23" i="9"/>
  <c r="G23" i="9"/>
  <c r="B24" i="9"/>
  <c r="B25" i="9"/>
  <c r="B26" i="9"/>
  <c r="B27" i="9"/>
  <c r="B28" i="9"/>
  <c r="B29" i="9"/>
  <c r="A32" i="9"/>
  <c r="E33" i="9"/>
  <c r="E34" i="9"/>
  <c r="A41" i="9"/>
  <c r="A43" i="9"/>
  <c r="F47" i="9"/>
  <c r="A48" i="9"/>
  <c r="B48" i="9"/>
  <c r="E48" i="9"/>
  <c r="F48" i="9"/>
  <c r="G48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A77" i="9"/>
  <c r="E78" i="9"/>
  <c r="E79" i="9"/>
  <c r="A1" i="8"/>
  <c r="A2" i="8"/>
  <c r="A4" i="8"/>
  <c r="A6" i="8"/>
  <c r="A7" i="8"/>
  <c r="F10" i="8"/>
  <c r="A11" i="8"/>
  <c r="B11" i="8"/>
  <c r="B13" i="8"/>
  <c r="E13" i="8"/>
  <c r="F13" i="8"/>
  <c r="B14" i="8"/>
  <c r="E14" i="8"/>
  <c r="F14" i="8"/>
  <c r="G14" i="8"/>
  <c r="B15" i="8"/>
  <c r="B16" i="8"/>
  <c r="E16" i="8"/>
  <c r="F16" i="8"/>
  <c r="G16" i="8"/>
  <c r="B17" i="8"/>
  <c r="E17" i="8"/>
  <c r="F17" i="8"/>
  <c r="G17" i="8"/>
  <c r="B18" i="8"/>
  <c r="B19" i="8"/>
  <c r="E19" i="8"/>
  <c r="F19" i="8"/>
  <c r="B20" i="8"/>
  <c r="E20" i="8"/>
  <c r="F20" i="8"/>
  <c r="G20" i="8"/>
  <c r="B21" i="8"/>
  <c r="E21" i="8"/>
  <c r="F21" i="8"/>
  <c r="G21" i="8"/>
  <c r="B22" i="8"/>
  <c r="E22" i="8"/>
  <c r="F22" i="8"/>
  <c r="G22" i="8"/>
  <c r="B23" i="8"/>
  <c r="E23" i="8"/>
  <c r="F23" i="8"/>
  <c r="G23" i="8"/>
  <c r="B24" i="8"/>
  <c r="E24" i="8"/>
  <c r="F24" i="8"/>
  <c r="G24" i="8"/>
  <c r="B25" i="8"/>
  <c r="E25" i="8"/>
  <c r="F25" i="8"/>
  <c r="G25" i="8"/>
  <c r="B26" i="8"/>
  <c r="B27" i="8"/>
  <c r="E27" i="8"/>
  <c r="F27" i="8"/>
  <c r="G27" i="8"/>
  <c r="B28" i="8"/>
  <c r="E28" i="8"/>
  <c r="F28" i="8"/>
  <c r="G28" i="8"/>
  <c r="B29" i="8"/>
  <c r="E29" i="8"/>
  <c r="F29" i="8"/>
  <c r="G29" i="8"/>
  <c r="B30" i="8"/>
  <c r="B31" i="8"/>
  <c r="E31" i="8"/>
  <c r="F31" i="8"/>
  <c r="G31" i="8"/>
  <c r="B32" i="8"/>
  <c r="E32" i="8"/>
  <c r="F32" i="8"/>
  <c r="G32" i="8"/>
  <c r="B33" i="8"/>
  <c r="E33" i="8"/>
  <c r="B34" i="8"/>
  <c r="A37" i="8"/>
  <c r="E38" i="8"/>
  <c r="E39" i="8"/>
  <c r="A45" i="8"/>
  <c r="A47" i="8"/>
  <c r="A48" i="8"/>
  <c r="F51" i="8"/>
  <c r="A52" i="8"/>
  <c r="B52" i="8"/>
  <c r="B54" i="8"/>
  <c r="E54" i="8"/>
  <c r="F54" i="8"/>
  <c r="G54" i="8"/>
  <c r="B55" i="8"/>
  <c r="E55" i="8"/>
  <c r="F55" i="8"/>
  <c r="G55" i="8"/>
  <c r="B56" i="8"/>
  <c r="E56" i="8"/>
  <c r="F56" i="8"/>
  <c r="G56" i="8"/>
  <c r="B57" i="8"/>
  <c r="E57" i="8"/>
  <c r="F57" i="8"/>
  <c r="G57" i="8"/>
  <c r="B58" i="8"/>
  <c r="E58" i="8"/>
  <c r="F58" i="8"/>
  <c r="G58" i="8"/>
  <c r="B59" i="8"/>
  <c r="E59" i="8"/>
  <c r="F59" i="8"/>
  <c r="G59" i="8"/>
  <c r="B60" i="8"/>
  <c r="E60" i="8"/>
  <c r="F60" i="8"/>
  <c r="G60" i="8"/>
  <c r="B61" i="8"/>
  <c r="E61" i="8"/>
  <c r="F61" i="8"/>
  <c r="G61" i="8"/>
  <c r="B62" i="8"/>
  <c r="E62" i="8"/>
  <c r="F62" i="8"/>
  <c r="G62" i="8"/>
  <c r="B63" i="8"/>
  <c r="E63" i="8"/>
  <c r="F63" i="8"/>
  <c r="G63" i="8"/>
  <c r="B64" i="8"/>
  <c r="B65" i="8"/>
  <c r="E65" i="8"/>
  <c r="F65" i="8"/>
  <c r="G65" i="8"/>
  <c r="B66" i="8"/>
  <c r="E66" i="8"/>
  <c r="F66" i="8"/>
  <c r="G66" i="8"/>
  <c r="B67" i="8"/>
  <c r="E67" i="8"/>
  <c r="F67" i="8"/>
  <c r="G67" i="8"/>
  <c r="B68" i="8"/>
  <c r="E68" i="8"/>
  <c r="F68" i="8"/>
  <c r="G68" i="8"/>
  <c r="B69" i="8"/>
  <c r="E69" i="8"/>
  <c r="F69" i="8"/>
  <c r="G69" i="8"/>
  <c r="B70" i="8"/>
  <c r="E70" i="8"/>
  <c r="F70" i="8"/>
  <c r="G70" i="8"/>
  <c r="B71" i="8"/>
  <c r="E71" i="8"/>
  <c r="F71" i="8"/>
  <c r="G71" i="8"/>
  <c r="B72" i="8"/>
  <c r="E72" i="8"/>
  <c r="F72" i="8"/>
  <c r="G72" i="8"/>
  <c r="B73" i="8"/>
  <c r="E73" i="8"/>
  <c r="F73" i="8"/>
  <c r="G73" i="8"/>
  <c r="B74" i="8"/>
  <c r="B75" i="8"/>
  <c r="B76" i="8"/>
  <c r="B77" i="8"/>
  <c r="E77" i="8"/>
  <c r="F77" i="8"/>
  <c r="B78" i="8"/>
  <c r="A81" i="8"/>
  <c r="E82" i="8"/>
  <c r="E83" i="8"/>
  <c r="A1" i="7"/>
  <c r="A2" i="7"/>
  <c r="A4" i="7"/>
  <c r="A6" i="7"/>
  <c r="A9" i="7"/>
  <c r="F10" i="7"/>
  <c r="A11" i="7"/>
  <c r="B11" i="7"/>
  <c r="B13" i="7"/>
  <c r="B14" i="7"/>
  <c r="B15" i="7"/>
  <c r="E15" i="7"/>
  <c r="F15" i="7"/>
  <c r="G15" i="7"/>
  <c r="B16" i="7"/>
  <c r="E16" i="7"/>
  <c r="F16" i="7"/>
  <c r="B17" i="7"/>
  <c r="E17" i="7"/>
  <c r="F17" i="7"/>
  <c r="B18" i="7"/>
  <c r="E18" i="7"/>
  <c r="F18" i="7"/>
  <c r="B19" i="7"/>
  <c r="E19" i="7"/>
  <c r="F19" i="7"/>
  <c r="B20" i="7"/>
  <c r="E20" i="7"/>
  <c r="F20" i="7"/>
  <c r="B21" i="7"/>
  <c r="E21" i="7"/>
  <c r="F21" i="7"/>
  <c r="G21" i="7"/>
  <c r="B22" i="7"/>
  <c r="B23" i="7"/>
  <c r="E23" i="7"/>
  <c r="F23" i="7"/>
  <c r="G23" i="7"/>
  <c r="B24" i="7"/>
  <c r="E24" i="7"/>
  <c r="F24" i="7"/>
  <c r="G24" i="7"/>
  <c r="B25" i="7"/>
  <c r="E25" i="7"/>
  <c r="F25" i="7"/>
  <c r="G25" i="7"/>
  <c r="B26" i="7"/>
  <c r="E26" i="7"/>
  <c r="F26" i="7"/>
  <c r="G26" i="7"/>
  <c r="B27" i="7"/>
  <c r="E27" i="7"/>
  <c r="F27" i="7"/>
  <c r="G27" i="7"/>
  <c r="B28" i="7"/>
  <c r="E28" i="7"/>
  <c r="F28" i="7"/>
  <c r="G28" i="7"/>
  <c r="B29" i="7"/>
  <c r="E29" i="7"/>
  <c r="F29" i="7"/>
  <c r="G29" i="7"/>
  <c r="B30" i="7"/>
  <c r="B31" i="7"/>
  <c r="F31" i="7"/>
  <c r="B32" i="7"/>
  <c r="E32" i="7"/>
  <c r="F32" i="7"/>
  <c r="G32" i="7"/>
  <c r="B33" i="7"/>
  <c r="F33" i="7"/>
  <c r="B34" i="7"/>
  <c r="E34" i="7"/>
  <c r="F34" i="7"/>
  <c r="G34" i="7"/>
  <c r="B35" i="7"/>
  <c r="E35" i="7"/>
  <c r="F35" i="7"/>
  <c r="G35" i="7"/>
  <c r="B36" i="7"/>
  <c r="E36" i="7"/>
  <c r="F36" i="7"/>
  <c r="G36" i="7"/>
  <c r="B37" i="7"/>
  <c r="E37" i="7"/>
  <c r="F37" i="7"/>
  <c r="G37" i="7"/>
  <c r="B38" i="7"/>
  <c r="E38" i="7"/>
  <c r="F38" i="7"/>
  <c r="G38" i="7"/>
  <c r="B39" i="7"/>
  <c r="E39" i="7"/>
  <c r="F39" i="7"/>
  <c r="G39" i="7"/>
  <c r="B40" i="7"/>
  <c r="E40" i="7"/>
  <c r="F40" i="7"/>
  <c r="G40" i="7"/>
  <c r="A42" i="7"/>
  <c r="E44" i="7"/>
  <c r="E45" i="7"/>
  <c r="A49" i="7"/>
  <c r="A51" i="7"/>
  <c r="A54" i="7"/>
  <c r="F55" i="7"/>
  <c r="A56" i="7"/>
  <c r="B56" i="7"/>
  <c r="B58" i="7"/>
  <c r="B59" i="7"/>
  <c r="B60" i="7"/>
  <c r="E60" i="7"/>
  <c r="F60" i="7"/>
  <c r="B61" i="7"/>
  <c r="E61" i="7"/>
  <c r="F61" i="7"/>
  <c r="G61" i="7"/>
  <c r="B62" i="7"/>
  <c r="E62" i="7"/>
  <c r="F62" i="7"/>
  <c r="G62" i="7"/>
  <c r="B63" i="7"/>
  <c r="E63" i="7"/>
  <c r="F63" i="7"/>
  <c r="G63" i="7"/>
  <c r="B64" i="7"/>
  <c r="E64" i="7"/>
  <c r="F64" i="7"/>
  <c r="G64" i="7"/>
  <c r="B65" i="7"/>
  <c r="E65" i="7"/>
  <c r="F65" i="7"/>
  <c r="G65" i="7"/>
  <c r="B66" i="7"/>
  <c r="B67" i="7"/>
  <c r="E67" i="7"/>
  <c r="F67" i="7"/>
  <c r="B68" i="7"/>
  <c r="E68" i="7"/>
  <c r="F68" i="7"/>
  <c r="B69" i="7"/>
  <c r="E69" i="7"/>
  <c r="F69" i="7"/>
  <c r="G69" i="7"/>
  <c r="B70" i="7"/>
  <c r="E70" i="7"/>
  <c r="F70" i="7"/>
  <c r="G70" i="7"/>
  <c r="B71" i="7"/>
  <c r="E71" i="7"/>
  <c r="F71" i="7"/>
  <c r="G71" i="7"/>
  <c r="B72" i="7"/>
  <c r="E72" i="7"/>
  <c r="F72" i="7"/>
  <c r="B73" i="7"/>
  <c r="E73" i="7"/>
  <c r="F73" i="7"/>
  <c r="G73" i="7"/>
  <c r="B74" i="7"/>
  <c r="E74" i="7"/>
  <c r="F74" i="7"/>
  <c r="G74" i="7"/>
  <c r="B75" i="7"/>
  <c r="B76" i="7"/>
  <c r="E76" i="7"/>
  <c r="F76" i="7"/>
  <c r="G76" i="7"/>
  <c r="B77" i="7"/>
  <c r="E77" i="7"/>
  <c r="F77" i="7"/>
  <c r="G77" i="7"/>
  <c r="B78" i="7"/>
  <c r="E78" i="7"/>
  <c r="F78" i="7"/>
  <c r="G78" i="7"/>
  <c r="B79" i="7"/>
  <c r="E79" i="7"/>
  <c r="F79" i="7"/>
  <c r="G79" i="7"/>
  <c r="B80" i="7"/>
  <c r="E80" i="7"/>
  <c r="F80" i="7"/>
  <c r="G80" i="7"/>
  <c r="B81" i="7"/>
  <c r="E81" i="7"/>
  <c r="F81" i="7"/>
  <c r="G81" i="7"/>
  <c r="B82" i="7"/>
  <c r="B83" i="7"/>
  <c r="E83" i="7"/>
  <c r="F83" i="7"/>
  <c r="B84" i="7"/>
  <c r="E84" i="7"/>
  <c r="F84" i="7"/>
  <c r="B85" i="7"/>
  <c r="B86" i="7"/>
  <c r="E86" i="7"/>
  <c r="F86" i="7"/>
  <c r="G86" i="7"/>
  <c r="B87" i="7"/>
  <c r="E87" i="7"/>
  <c r="F87" i="7"/>
  <c r="G87" i="7"/>
  <c r="B88" i="7"/>
  <c r="E88" i="7"/>
  <c r="F88" i="7"/>
  <c r="G88" i="7"/>
  <c r="B89" i="7"/>
  <c r="A91" i="7"/>
  <c r="E92" i="7"/>
  <c r="E93" i="7"/>
  <c r="A97" i="7"/>
  <c r="A99" i="7"/>
  <c r="A102" i="7"/>
  <c r="F103" i="7"/>
  <c r="A104" i="7"/>
  <c r="B104" i="7"/>
  <c r="B106" i="7"/>
  <c r="B107" i="7"/>
  <c r="E107" i="7"/>
  <c r="F107" i="7"/>
  <c r="G107" i="7"/>
  <c r="B108" i="7"/>
  <c r="E108" i="7"/>
  <c r="F108" i="7"/>
  <c r="G108" i="7"/>
  <c r="B109" i="7"/>
  <c r="E109" i="7"/>
  <c r="F109" i="7"/>
  <c r="G109" i="7"/>
  <c r="B110" i="7"/>
  <c r="E110" i="7"/>
  <c r="F110" i="7"/>
  <c r="G110" i="7"/>
  <c r="B111" i="7"/>
  <c r="E111" i="7"/>
  <c r="F111" i="7"/>
  <c r="G111" i="7"/>
  <c r="B112" i="7"/>
  <c r="E112" i="7"/>
  <c r="F112" i="7"/>
  <c r="G112" i="7"/>
  <c r="B113" i="7"/>
  <c r="B114" i="7"/>
  <c r="E114" i="7"/>
  <c r="F114" i="7"/>
  <c r="G114" i="7"/>
  <c r="B115" i="7"/>
  <c r="E115" i="7"/>
  <c r="F115" i="7"/>
  <c r="G115" i="7"/>
  <c r="B116" i="7"/>
  <c r="F116" i="7"/>
  <c r="B117" i="7"/>
  <c r="B118" i="7"/>
  <c r="E118" i="7"/>
  <c r="F118" i="7"/>
  <c r="G118" i="7"/>
  <c r="B119" i="7"/>
  <c r="E119" i="7"/>
  <c r="F119" i="7"/>
  <c r="G119" i="7"/>
  <c r="B120" i="7"/>
  <c r="E120" i="7"/>
  <c r="F120" i="7"/>
  <c r="G120" i="7"/>
  <c r="B121" i="7"/>
  <c r="B122" i="7"/>
  <c r="B123" i="7"/>
  <c r="E123" i="7"/>
  <c r="F123" i="7"/>
  <c r="G123" i="7"/>
  <c r="B124" i="7"/>
  <c r="E124" i="7"/>
  <c r="F124" i="7"/>
  <c r="G124" i="7"/>
  <c r="B125" i="7"/>
  <c r="E125" i="7"/>
  <c r="F125" i="7"/>
  <c r="G125" i="7"/>
  <c r="B126" i="7"/>
  <c r="E126" i="7"/>
  <c r="F126" i="7"/>
  <c r="G126" i="7"/>
  <c r="A128" i="7"/>
  <c r="E129" i="7"/>
  <c r="E130" i="7"/>
  <c r="A134" i="7"/>
  <c r="A136" i="7"/>
  <c r="A139" i="7"/>
  <c r="F140" i="7"/>
  <c r="A141" i="7"/>
  <c r="B141" i="7"/>
  <c r="B143" i="7"/>
  <c r="B144" i="7"/>
  <c r="E144" i="7"/>
  <c r="F144" i="7"/>
  <c r="G144" i="7"/>
  <c r="B145" i="7"/>
  <c r="E145" i="7"/>
  <c r="F145" i="7"/>
  <c r="G145" i="7"/>
  <c r="B146" i="7"/>
  <c r="E146" i="7"/>
  <c r="F146" i="7"/>
  <c r="G146" i="7"/>
  <c r="B147" i="7"/>
  <c r="E147" i="7"/>
  <c r="F147" i="7"/>
  <c r="G147" i="7"/>
  <c r="B148" i="7"/>
  <c r="E148" i="7"/>
  <c r="F148" i="7"/>
  <c r="G148" i="7"/>
  <c r="B149" i="7"/>
  <c r="E149" i="7"/>
  <c r="F149" i="7"/>
  <c r="G149" i="7"/>
  <c r="B150" i="7"/>
  <c r="E150" i="7"/>
  <c r="F150" i="7"/>
  <c r="G150" i="7"/>
  <c r="B151" i="7"/>
  <c r="E151" i="7"/>
  <c r="F151" i="7"/>
  <c r="G151" i="7"/>
  <c r="B152" i="7"/>
  <c r="E152" i="7"/>
  <c r="F152" i="7"/>
  <c r="G152" i="7"/>
  <c r="B153" i="7"/>
  <c r="B154" i="7"/>
  <c r="E154" i="7"/>
  <c r="F154" i="7"/>
  <c r="G154" i="7"/>
  <c r="B155" i="7"/>
  <c r="E155" i="7"/>
  <c r="F155" i="7"/>
  <c r="G155" i="7"/>
  <c r="B156" i="7"/>
  <c r="E156" i="7"/>
  <c r="F156" i="7"/>
  <c r="G156" i="7"/>
  <c r="B157" i="7"/>
  <c r="E157" i="7"/>
  <c r="F157" i="7"/>
  <c r="G157" i="7"/>
  <c r="B158" i="7"/>
  <c r="E158" i="7"/>
  <c r="F158" i="7"/>
  <c r="B159" i="7"/>
  <c r="E159" i="7"/>
  <c r="F159" i="7"/>
  <c r="B160" i="7"/>
  <c r="E160" i="7"/>
  <c r="F160" i="7"/>
  <c r="B161" i="7"/>
  <c r="E161" i="7"/>
  <c r="F161" i="7"/>
  <c r="B162" i="7"/>
  <c r="E162" i="7"/>
  <c r="F162" i="7"/>
  <c r="B163" i="7"/>
  <c r="E163" i="7"/>
  <c r="F163" i="7"/>
  <c r="B164" i="7"/>
  <c r="E164" i="7"/>
  <c r="F164" i="7"/>
  <c r="G164" i="7"/>
  <c r="B165" i="7"/>
  <c r="E165" i="7"/>
  <c r="F165" i="7"/>
  <c r="G165" i="7"/>
  <c r="B166" i="7"/>
  <c r="B167" i="7"/>
  <c r="E167" i="7"/>
  <c r="F167" i="7"/>
  <c r="G167" i="7"/>
  <c r="B168" i="7"/>
  <c r="E168" i="7"/>
  <c r="F168" i="7"/>
  <c r="G168" i="7"/>
  <c r="B169" i="7"/>
  <c r="E169" i="7"/>
  <c r="F169" i="7"/>
  <c r="G169" i="7"/>
  <c r="B170" i="7"/>
  <c r="A172" i="7"/>
  <c r="E173" i="7"/>
  <c r="E174" i="7"/>
  <c r="B9" i="6"/>
  <c r="C9" i="6"/>
  <c r="C11" i="6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A2" i="5"/>
  <c r="A4" i="5"/>
  <c r="B4" i="5"/>
  <c r="D4" i="5"/>
  <c r="E4" i="5"/>
  <c r="G4" i="5"/>
  <c r="H4" i="5"/>
  <c r="I4" i="5"/>
  <c r="J4" i="5"/>
  <c r="K4" i="5"/>
  <c r="L4" i="5"/>
  <c r="A5" i="5"/>
  <c r="A12" i="5"/>
  <c r="P12" i="5"/>
  <c r="A15" i="5"/>
  <c r="P15" i="5"/>
  <c r="I27" i="5"/>
  <c r="A30" i="5"/>
  <c r="B41" i="5"/>
  <c r="O43" i="5"/>
  <c r="O44" i="5"/>
  <c r="C4" i="2"/>
  <c r="D4" i="2"/>
  <c r="F14" i="12" s="1"/>
  <c r="E4" i="2"/>
  <c r="G14" i="7" s="1"/>
  <c r="C12" i="2"/>
  <c r="D12" i="2"/>
  <c r="E12" i="2"/>
  <c r="C20" i="2"/>
  <c r="D20" i="2"/>
  <c r="F16" i="12" s="1"/>
  <c r="E20" i="2"/>
  <c r="C32" i="2"/>
  <c r="E59" i="7" s="1"/>
  <c r="D32" i="2"/>
  <c r="F18" i="12" s="1"/>
  <c r="E32" i="2"/>
  <c r="D39" i="2"/>
  <c r="C48" i="2"/>
  <c r="D48" i="2"/>
  <c r="F20" i="12" s="1"/>
  <c r="E48" i="2"/>
  <c r="G75" i="7" s="1"/>
  <c r="C55" i="2"/>
  <c r="D55" i="2"/>
  <c r="F82" i="7" s="1"/>
  <c r="E55" i="2"/>
  <c r="G21" i="12" s="1"/>
  <c r="C58" i="2"/>
  <c r="D58" i="2"/>
  <c r="F22" i="12" s="1"/>
  <c r="E58" i="2"/>
  <c r="E35" i="12"/>
  <c r="D70" i="2"/>
  <c r="D63" i="2" s="1"/>
  <c r="C74" i="2"/>
  <c r="D74" i="2"/>
  <c r="E74" i="2"/>
  <c r="C79" i="2"/>
  <c r="D79" i="2"/>
  <c r="F122" i="7" s="1"/>
  <c r="E79" i="2"/>
  <c r="G39" i="12" s="1"/>
  <c r="C84" i="2"/>
  <c r="E143" i="7" s="1"/>
  <c r="D84" i="2"/>
  <c r="E84" i="2"/>
  <c r="C94" i="2"/>
  <c r="D94" i="2"/>
  <c r="F41" i="12" s="1"/>
  <c r="C107" i="2"/>
  <c r="D107" i="2"/>
  <c r="F42" i="12" s="1"/>
  <c r="E107" i="2"/>
  <c r="C117" i="2"/>
  <c r="D117" i="2"/>
  <c r="F13" i="13" s="1"/>
  <c r="E117" i="2"/>
  <c r="C120" i="2"/>
  <c r="D120" i="2"/>
  <c r="F14" i="13" s="1"/>
  <c r="E120" i="2"/>
  <c r="C128" i="2"/>
  <c r="E16" i="13" s="1"/>
  <c r="D128" i="2"/>
  <c r="E128" i="2"/>
  <c r="C132" i="2"/>
  <c r="D132" i="2"/>
  <c r="F30" i="8" s="1"/>
  <c r="E132" i="2"/>
  <c r="C147" i="2"/>
  <c r="D147" i="2"/>
  <c r="F21" i="13" s="1"/>
  <c r="E147" i="2"/>
  <c r="C157" i="2"/>
  <c r="E22" i="13" s="1"/>
  <c r="D157" i="2"/>
  <c r="E157" i="2"/>
  <c r="G74" i="8" s="1"/>
  <c r="C165" i="2"/>
  <c r="E13" i="9" s="1"/>
  <c r="D165" i="2"/>
  <c r="F13" i="9" s="1"/>
  <c r="E165" i="2"/>
  <c r="G13" i="9" s="1"/>
  <c r="C166" i="2"/>
  <c r="E14" i="9" s="1"/>
  <c r="D166" i="2"/>
  <c r="F14" i="9" s="1"/>
  <c r="E166" i="2"/>
  <c r="G14" i="9" s="1"/>
  <c r="C169" i="2"/>
  <c r="E17" i="9" s="1"/>
  <c r="D169" i="2"/>
  <c r="E169" i="2"/>
  <c r="G17" i="9" s="1"/>
  <c r="C170" i="2"/>
  <c r="E18" i="9" s="1"/>
  <c r="D170" i="2"/>
  <c r="F18" i="9" s="1"/>
  <c r="E170" i="2"/>
  <c r="C176" i="2"/>
  <c r="D176" i="2"/>
  <c r="F24" i="9" s="1"/>
  <c r="E176" i="2"/>
  <c r="G24" i="9" s="1"/>
  <c r="C177" i="2"/>
  <c r="D177" i="2"/>
  <c r="F25" i="9" s="1"/>
  <c r="E177" i="2"/>
  <c r="C178" i="2"/>
  <c r="E26" i="9" s="1"/>
  <c r="D178" i="2"/>
  <c r="F26" i="9" s="1"/>
  <c r="C179" i="2"/>
  <c r="D179" i="2"/>
  <c r="F18" i="14" s="1"/>
  <c r="E179" i="2"/>
  <c r="G27" i="9" s="1"/>
  <c r="C180" i="2"/>
  <c r="E28" i="9" s="1"/>
  <c r="D180" i="2"/>
  <c r="F28" i="9" s="1"/>
  <c r="E180" i="2"/>
  <c r="G28" i="9" s="1"/>
  <c r="C182" i="2"/>
  <c r="E50" i="9" s="1"/>
  <c r="D182" i="2"/>
  <c r="F50" i="9" s="1"/>
  <c r="E182" i="2"/>
  <c r="G50" i="9" s="1"/>
  <c r="C183" i="2"/>
  <c r="E51" i="9" s="1"/>
  <c r="D183" i="2"/>
  <c r="F51" i="9"/>
  <c r="E183" i="2"/>
  <c r="G51" i="9" s="1"/>
  <c r="C184" i="2"/>
  <c r="E52" i="9" s="1"/>
  <c r="D184" i="2"/>
  <c r="F52" i="9"/>
  <c r="E184" i="2"/>
  <c r="G52" i="9" s="1"/>
  <c r="C185" i="2"/>
  <c r="E53" i="9" s="1"/>
  <c r="D185" i="2"/>
  <c r="F53" i="9" s="1"/>
  <c r="E185" i="2"/>
  <c r="G53" i="9" s="1"/>
  <c r="C186" i="2"/>
  <c r="E54" i="9" s="1"/>
  <c r="D186" i="2"/>
  <c r="F54" i="9" s="1"/>
  <c r="E186" i="2"/>
  <c r="G54" i="9" s="1"/>
  <c r="C187" i="2"/>
  <c r="E55" i="9" s="1"/>
  <c r="D187" i="2"/>
  <c r="F55" i="9" s="1"/>
  <c r="E187" i="2"/>
  <c r="G55" i="9" s="1"/>
  <c r="D188" i="2"/>
  <c r="F56" i="9" s="1"/>
  <c r="E188" i="2"/>
  <c r="G56" i="9" s="1"/>
  <c r="C189" i="2"/>
  <c r="E57" i="9" s="1"/>
  <c r="D189" i="2"/>
  <c r="F57" i="9" s="1"/>
  <c r="E189" i="2"/>
  <c r="G57" i="9" s="1"/>
  <c r="C190" i="2"/>
  <c r="E58" i="9" s="1"/>
  <c r="D190" i="2"/>
  <c r="F58" i="9" s="1"/>
  <c r="E190" i="2"/>
  <c r="G58" i="9" s="1"/>
  <c r="C191" i="2"/>
  <c r="E59" i="9" s="1"/>
  <c r="D191" i="2"/>
  <c r="F59" i="9" s="1"/>
  <c r="E191" i="2"/>
  <c r="G59" i="9" s="1"/>
  <c r="C193" i="2"/>
  <c r="D193" i="2"/>
  <c r="F61" i="9" s="1"/>
  <c r="E193" i="2"/>
  <c r="C194" i="2"/>
  <c r="E62" i="9" s="1"/>
  <c r="D194" i="2"/>
  <c r="F62" i="9" s="1"/>
  <c r="E194" i="2"/>
  <c r="G62" i="9" s="1"/>
  <c r="C195" i="2"/>
  <c r="E63" i="9" s="1"/>
  <c r="D195" i="2"/>
  <c r="F63" i="9" s="1"/>
  <c r="E195" i="2"/>
  <c r="G63" i="9" s="1"/>
  <c r="C196" i="2"/>
  <c r="E64" i="9" s="1"/>
  <c r="D196" i="2"/>
  <c r="F64" i="9" s="1"/>
  <c r="E196" i="2"/>
  <c r="G64" i="9" s="1"/>
  <c r="C197" i="2"/>
  <c r="E65" i="9" s="1"/>
  <c r="D197" i="2"/>
  <c r="F65" i="9"/>
  <c r="E197" i="2"/>
  <c r="G65" i="9" s="1"/>
  <c r="C198" i="2"/>
  <c r="E66" i="9" s="1"/>
  <c r="D198" i="2"/>
  <c r="F66" i="9" s="1"/>
  <c r="E198" i="2"/>
  <c r="G66" i="9" s="1"/>
  <c r="C199" i="2"/>
  <c r="E67" i="9" s="1"/>
  <c r="D199" i="2"/>
  <c r="F67" i="9" s="1"/>
  <c r="E199" i="2"/>
  <c r="G67" i="9" s="1"/>
  <c r="C200" i="2"/>
  <c r="E68" i="9" s="1"/>
  <c r="D200" i="2"/>
  <c r="F68" i="9" s="1"/>
  <c r="E200" i="2"/>
  <c r="G68" i="9" s="1"/>
  <c r="C201" i="2"/>
  <c r="E69" i="9" s="1"/>
  <c r="D201" i="2"/>
  <c r="F69" i="9" s="1"/>
  <c r="E201" i="2"/>
  <c r="G69" i="9" s="1"/>
  <c r="C205" i="2"/>
  <c r="E24" i="14" s="1"/>
  <c r="D205" i="2"/>
  <c r="F24" i="14" s="1"/>
  <c r="C12" i="31"/>
  <c r="C11" i="31"/>
  <c r="C7" i="31"/>
  <c r="C9" i="31"/>
  <c r="C10" i="31"/>
  <c r="G163" i="7"/>
  <c r="F17" i="13"/>
  <c r="E75" i="7"/>
  <c r="F30" i="7"/>
  <c r="F21" i="12"/>
  <c r="G117" i="7"/>
  <c r="F26" i="8"/>
  <c r="G37" i="12"/>
  <c r="E113" i="7"/>
  <c r="G35" i="12"/>
  <c r="K46" i="29"/>
  <c r="J46" i="29"/>
  <c r="K51" i="29"/>
  <c r="J31" i="29"/>
  <c r="K31" i="29"/>
  <c r="E178" i="2"/>
  <c r="G26" i="9" s="1"/>
  <c r="G67" i="7"/>
  <c r="G68" i="7"/>
  <c r="E39" i="2"/>
  <c r="C39" i="2"/>
  <c r="E19" i="12" s="1"/>
  <c r="J57" i="29"/>
  <c r="K57" i="29"/>
  <c r="J52" i="29"/>
  <c r="J49" i="29"/>
  <c r="K49" i="29"/>
  <c r="J28" i="29"/>
  <c r="K28" i="29"/>
  <c r="K55" i="29"/>
  <c r="J53" i="29"/>
  <c r="K53" i="29"/>
  <c r="E94" i="2"/>
  <c r="E18" i="8"/>
  <c r="E14" i="13"/>
  <c r="K60" i="29"/>
  <c r="J60" i="29"/>
  <c r="K35" i="29"/>
  <c r="F15" i="12"/>
  <c r="F22" i="7"/>
  <c r="J20" i="29"/>
  <c r="K20" i="29"/>
  <c r="K18" i="29"/>
  <c r="J18" i="29"/>
  <c r="K50" i="29"/>
  <c r="F106" i="7"/>
  <c r="F20" i="31"/>
  <c r="G22" i="7" l="1"/>
  <c r="G16" i="14"/>
  <c r="E167" i="2"/>
  <c r="G13" i="14" s="1"/>
  <c r="K47" i="29"/>
  <c r="J47" i="29"/>
  <c r="F17" i="14"/>
  <c r="K58" i="29"/>
  <c r="J21" i="29"/>
  <c r="G13" i="13"/>
  <c r="F166" i="7"/>
  <c r="J54" i="29"/>
  <c r="F39" i="12"/>
  <c r="J45" i="29"/>
  <c r="K34" i="29"/>
  <c r="E37" i="12"/>
  <c r="F75" i="7"/>
  <c r="E73" i="9"/>
  <c r="E41" i="12"/>
  <c r="E153" i="7"/>
  <c r="E18" i="12"/>
  <c r="E16" i="12"/>
  <c r="E30" i="7"/>
  <c r="G18" i="14"/>
  <c r="G17" i="13"/>
  <c r="G166" i="7"/>
  <c r="G22" i="13"/>
  <c r="G15" i="12"/>
  <c r="G14" i="12"/>
  <c r="E26" i="8"/>
  <c r="F153" i="7"/>
  <c r="C192" i="2"/>
  <c r="E60" i="9" s="1"/>
  <c r="F113" i="7"/>
  <c r="C171" i="2"/>
  <c r="E19" i="9" s="1"/>
  <c r="C78" i="2"/>
  <c r="F35" i="12"/>
  <c r="F85" i="7"/>
  <c r="E136" i="2"/>
  <c r="E14" i="7"/>
  <c r="E21" i="12"/>
  <c r="F64" i="8"/>
  <c r="E117" i="7"/>
  <c r="F16" i="14"/>
  <c r="E82" i="7"/>
  <c r="C158" i="2"/>
  <c r="E64" i="8"/>
  <c r="E42" i="12"/>
  <c r="G143" i="7"/>
  <c r="K19" i="29"/>
  <c r="J19" i="29"/>
  <c r="E21" i="13"/>
  <c r="D192" i="2"/>
  <c r="G61" i="9"/>
  <c r="E202" i="2"/>
  <c r="G21" i="14" s="1"/>
  <c r="G82" i="7"/>
  <c r="J61" i="29"/>
  <c r="K61" i="29"/>
  <c r="F73" i="9"/>
  <c r="K27" i="29"/>
  <c r="E14" i="12"/>
  <c r="G40" i="12"/>
  <c r="G153" i="7"/>
  <c r="D167" i="2"/>
  <c r="F15" i="9" s="1"/>
  <c r="F15" i="8"/>
  <c r="F37" i="12"/>
  <c r="F117" i="7"/>
  <c r="F19" i="12"/>
  <c r="F66" i="7"/>
  <c r="K25" i="29"/>
  <c r="J25" i="29"/>
  <c r="E74" i="8"/>
  <c r="E24" i="9"/>
  <c r="E16" i="14"/>
  <c r="G26" i="8"/>
  <c r="G16" i="13"/>
  <c r="C167" i="2"/>
  <c r="E15" i="8"/>
  <c r="G20" i="12"/>
  <c r="K32" i="29"/>
  <c r="J32" i="29"/>
  <c r="E85" i="7"/>
  <c r="E22" i="12"/>
  <c r="E13" i="13"/>
  <c r="E166" i="7"/>
  <c r="E121" i="7"/>
  <c r="F18" i="8"/>
  <c r="E61" i="9"/>
  <c r="C202" i="2"/>
  <c r="C203" i="2" s="1"/>
  <c r="E71" i="9" s="1"/>
  <c r="G42" i="12"/>
  <c r="D136" i="2"/>
  <c r="F20" i="13" s="1"/>
  <c r="G113" i="7"/>
  <c r="G30" i="8"/>
  <c r="E66" i="7"/>
  <c r="C31" i="2"/>
  <c r="E40" i="12"/>
  <c r="K33" i="29"/>
  <c r="J33" i="29"/>
  <c r="E17" i="13"/>
  <c r="E30" i="8"/>
  <c r="G59" i="7"/>
  <c r="G18" i="12"/>
  <c r="J43" i="29"/>
  <c r="K43" i="29"/>
  <c r="J59" i="29"/>
  <c r="K59" i="29"/>
  <c r="E3" i="2"/>
  <c r="G41" i="12"/>
  <c r="J42" i="29"/>
  <c r="E18" i="14"/>
  <c r="E27" i="9"/>
  <c r="E20" i="12"/>
  <c r="J24" i="29"/>
  <c r="K24" i="29"/>
  <c r="E15" i="12"/>
  <c r="E22" i="7"/>
  <c r="C3" i="2"/>
  <c r="C136" i="2"/>
  <c r="K29" i="29"/>
  <c r="J29" i="29"/>
  <c r="E192" i="2"/>
  <c r="F16" i="13"/>
  <c r="D202" i="2"/>
  <c r="F21" i="14" s="1"/>
  <c r="F28" i="31"/>
  <c r="K56" i="29"/>
  <c r="J56" i="29"/>
  <c r="K48" i="29"/>
  <c r="I62" i="29"/>
  <c r="J48" i="29"/>
  <c r="K26" i="29"/>
  <c r="J26" i="29"/>
  <c r="K23" i="29"/>
  <c r="J23" i="29"/>
  <c r="J16" i="29"/>
  <c r="K16" i="29"/>
  <c r="I36" i="29"/>
  <c r="G19" i="12"/>
  <c r="E31" i="2"/>
  <c r="G66" i="7"/>
  <c r="G21" i="13"/>
  <c r="E158" i="2"/>
  <c r="G64" i="8"/>
  <c r="G85" i="7"/>
  <c r="G22" i="12"/>
  <c r="E20" i="14"/>
  <c r="F28" i="12"/>
  <c r="E17" i="14"/>
  <c r="E25" i="9"/>
  <c r="F14" i="7"/>
  <c r="D3" i="2"/>
  <c r="G25" i="9"/>
  <c r="G17" i="14"/>
  <c r="F17" i="9"/>
  <c r="D171" i="2"/>
  <c r="F59" i="7"/>
  <c r="D31" i="2"/>
  <c r="F27" i="9"/>
  <c r="F22" i="13"/>
  <c r="F74" i="8"/>
  <c r="D158" i="2"/>
  <c r="G18" i="8"/>
  <c r="G14" i="13"/>
  <c r="G122" i="7"/>
  <c r="E78" i="2"/>
  <c r="E171" i="2"/>
  <c r="G18" i="9"/>
  <c r="F34" i="8"/>
  <c r="F143" i="7"/>
  <c r="F40" i="12"/>
  <c r="D78" i="2"/>
  <c r="D111" i="2" s="1"/>
  <c r="J44" i="29"/>
  <c r="K44" i="29"/>
  <c r="K62" i="29" s="1"/>
  <c r="J17" i="29"/>
  <c r="K17" i="29"/>
  <c r="G15" i="8"/>
  <c r="E122" i="7"/>
  <c r="E39" i="12"/>
  <c r="G16" i="12"/>
  <c r="G30" i="7"/>
  <c r="J30" i="29"/>
  <c r="K22" i="29"/>
  <c r="G15" i="9" l="1"/>
  <c r="J62" i="29"/>
  <c r="E14" i="14"/>
  <c r="C172" i="2"/>
  <c r="E15" i="14" s="1"/>
  <c r="E38" i="12"/>
  <c r="E159" i="2"/>
  <c r="G24" i="13" s="1"/>
  <c r="G20" i="13"/>
  <c r="G34" i="8"/>
  <c r="D172" i="2"/>
  <c r="E13" i="7"/>
  <c r="F13" i="14"/>
  <c r="E22" i="14"/>
  <c r="E15" i="9"/>
  <c r="E13" i="14"/>
  <c r="E13" i="12"/>
  <c r="G70" i="9"/>
  <c r="E58" i="7"/>
  <c r="E17" i="12"/>
  <c r="E23" i="13"/>
  <c r="E75" i="8"/>
  <c r="E21" i="14"/>
  <c r="E70" i="9"/>
  <c r="F20" i="14"/>
  <c r="F60" i="9"/>
  <c r="G13" i="7"/>
  <c r="E34" i="8"/>
  <c r="C159" i="2"/>
  <c r="E20" i="13"/>
  <c r="G60" i="9"/>
  <c r="G20" i="14"/>
  <c r="F70" i="9"/>
  <c r="G13" i="12"/>
  <c r="C62" i="2"/>
  <c r="D203" i="2"/>
  <c r="F22" i="14" s="1"/>
  <c r="E203" i="2"/>
  <c r="G71" i="9" s="1"/>
  <c r="G17" i="12"/>
  <c r="E62" i="2"/>
  <c r="G89" i="7" s="1"/>
  <c r="G58" i="7"/>
  <c r="D62" i="2"/>
  <c r="F13" i="7"/>
  <c r="F13" i="12"/>
  <c r="F121" i="7"/>
  <c r="F38" i="12"/>
  <c r="G121" i="7"/>
  <c r="G38" i="12"/>
  <c r="F23" i="13"/>
  <c r="F75" i="8"/>
  <c r="D159" i="2"/>
  <c r="F71" i="9"/>
  <c r="K36" i="29"/>
  <c r="F15" i="14"/>
  <c r="D181" i="2"/>
  <c r="F20" i="9"/>
  <c r="F19" i="9"/>
  <c r="F14" i="14"/>
  <c r="F170" i="7"/>
  <c r="F43" i="12"/>
  <c r="F58" i="7"/>
  <c r="F17" i="12"/>
  <c r="J36" i="29"/>
  <c r="G14" i="14"/>
  <c r="E172" i="2"/>
  <c r="G19" i="9"/>
  <c r="G75" i="8"/>
  <c r="G23" i="13"/>
  <c r="E20" i="9" l="1"/>
  <c r="C181" i="2"/>
  <c r="E29" i="9" s="1"/>
  <c r="G76" i="8"/>
  <c r="E161" i="2"/>
  <c r="G23" i="12"/>
  <c r="F7" i="29"/>
  <c r="G7" i="29" s="1"/>
  <c r="G22" i="14"/>
  <c r="E89" i="7"/>
  <c r="E23" i="12"/>
  <c r="E24" i="13"/>
  <c r="E76" i="8"/>
  <c r="C161" i="2"/>
  <c r="I7" i="29"/>
  <c r="C204" i="2"/>
  <c r="E19" i="14"/>
  <c r="D204" i="2"/>
  <c r="F19" i="14"/>
  <c r="F29" i="9"/>
  <c r="F24" i="13"/>
  <c r="D161" i="2"/>
  <c r="F76" i="8"/>
  <c r="F23" i="12"/>
  <c r="F89" i="7"/>
  <c r="G15" i="14"/>
  <c r="E181" i="2"/>
  <c r="G20" i="9"/>
  <c r="E7" i="29" l="1"/>
  <c r="G36" i="12"/>
  <c r="G26" i="13"/>
  <c r="G78" i="8"/>
  <c r="G77" i="8"/>
  <c r="E205" i="2"/>
  <c r="G25" i="13"/>
  <c r="E36" i="12"/>
  <c r="E116" i="7"/>
  <c r="C63" i="2"/>
  <c r="B5" i="6"/>
  <c r="E78" i="8"/>
  <c r="E26" i="13"/>
  <c r="G116" i="7"/>
  <c r="G19" i="14"/>
  <c r="E204" i="2"/>
  <c r="G29" i="9"/>
  <c r="F26" i="13"/>
  <c r="F78" i="8"/>
  <c r="C206" i="2"/>
  <c r="E23" i="14"/>
  <c r="E72" i="9"/>
  <c r="F72" i="9"/>
  <c r="F23" i="14"/>
  <c r="D206" i="2"/>
  <c r="C5" i="6" l="1"/>
  <c r="E63" i="2"/>
  <c r="G28" i="12" s="1"/>
  <c r="G73" i="9"/>
  <c r="G24" i="14"/>
  <c r="E106" i="7"/>
  <c r="E28" i="12"/>
  <c r="C111" i="2"/>
  <c r="E74" i="9"/>
  <c r="E25" i="14"/>
  <c r="B7" i="6"/>
  <c r="G72" i="9"/>
  <c r="G23" i="14"/>
  <c r="E206" i="2"/>
  <c r="F25" i="14"/>
  <c r="F74" i="9"/>
  <c r="E111" i="2" l="1"/>
  <c r="G106" i="7"/>
  <c r="E170" i="7"/>
  <c r="E43" i="12"/>
  <c r="B3" i="6"/>
  <c r="G74" i="9"/>
  <c r="G25" i="14"/>
  <c r="C7" i="6"/>
  <c r="G111" i="2" l="1"/>
  <c r="G170" i="7"/>
  <c r="G177" i="7" s="1"/>
  <c r="C3" i="6"/>
  <c r="G43" i="12"/>
  <c r="C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pristyak-edit</author>
  </authors>
  <commentList>
    <comment ref="E11" authorId="0" shapeId="0" xr:uid="{B919A20B-3247-460C-843D-78234A3D9A90}">
      <text>
        <r>
          <rPr>
            <b/>
            <sz val="9"/>
            <color indexed="81"/>
            <rFont val="Tahoma"/>
            <family val="2"/>
            <charset val="238"/>
          </rPr>
          <t>pristyak-edit:</t>
        </r>
        <r>
          <rPr>
            <sz val="9"/>
            <color indexed="81"/>
            <rFont val="Tahoma"/>
            <family val="2"/>
            <charset val="238"/>
          </rPr>
          <t xml:space="preserve">
Kerekítés miatt.
</t>
        </r>
      </text>
    </comment>
    <comment ref="E28" authorId="0" shapeId="0" xr:uid="{F72559E8-CFF9-465F-9F0B-A4AB6577F118}">
      <text>
        <r>
          <rPr>
            <b/>
            <sz val="9"/>
            <color indexed="81"/>
            <rFont val="Tahoma"/>
            <family val="2"/>
            <charset val="238"/>
          </rPr>
          <t>pristyak-edit:</t>
        </r>
        <r>
          <rPr>
            <sz val="9"/>
            <color indexed="81"/>
            <rFont val="Tahoma"/>
            <family val="2"/>
            <charset val="238"/>
          </rPr>
          <t xml:space="preserve">
Mozgástábla: Halmozott écs csökkenés - Bruttó érték csökkenés  </t>
        </r>
      </text>
    </comment>
    <comment ref="F28" authorId="0" shapeId="0" xr:uid="{F312A3FD-A7EC-40AF-9515-9883E2F1E8BC}">
      <text>
        <r>
          <rPr>
            <b/>
            <sz val="9"/>
            <color indexed="81"/>
            <rFont val="Tahoma"/>
            <family val="2"/>
            <charset val="238"/>
          </rPr>
          <t>pristyak-edit:</t>
        </r>
        <r>
          <rPr>
            <sz val="9"/>
            <color indexed="81"/>
            <rFont val="Tahoma"/>
            <family val="2"/>
            <charset val="238"/>
          </rPr>
          <t xml:space="preserve">
Mozgástábla:Halmozott Écs csökkenés - Bruttó érték csökkenés (Értékesítés eredménye és terven felüli écs nélkül)</t>
        </r>
      </text>
    </comment>
  </commentList>
</comments>
</file>

<file path=xl/sharedStrings.xml><?xml version="1.0" encoding="utf-8"?>
<sst xmlns="http://schemas.openxmlformats.org/spreadsheetml/2006/main" count="2192" uniqueCount="1597">
  <si>
    <t>Dimenzió Számítástechnikai és Szolgáltató Kft.</t>
  </si>
  <si>
    <t>Egyszerűsített éves beszámoló</t>
  </si>
  <si>
    <t>1117 Budapest, Nádorliget 8/a.</t>
  </si>
  <si>
    <t>Éves beszámoló</t>
  </si>
  <si>
    <t>Tel,fax: 311-8804, 311-0621</t>
  </si>
  <si>
    <t>iroda@dimenzio-kft.hu</t>
  </si>
  <si>
    <t>http://www.dimenzio-kft.hu/</t>
  </si>
  <si>
    <t>Összköltség eljárás</t>
  </si>
  <si>
    <t>Forgalmi költség eljárás</t>
  </si>
  <si>
    <t>Statisztikai számjel:</t>
  </si>
  <si>
    <t>Cégjegyzék szám:</t>
  </si>
  <si>
    <t>Adószám:</t>
  </si>
  <si>
    <t>Cégnév:</t>
  </si>
  <si>
    <t>A vállalkozás címe:</t>
  </si>
  <si>
    <t>A vállalkozás telefonszáma:</t>
  </si>
  <si>
    <t>Helység, dátum:</t>
  </si>
  <si>
    <t>Tárgyév:</t>
  </si>
  <si>
    <t>A mérleg fordulónapja:</t>
  </si>
  <si>
    <t>Könyvvizsgáló van=0, nincs= 1</t>
  </si>
  <si>
    <t>" A közzétett adatok könyvvizsgálattal nincsenek alátámasztva."</t>
  </si>
  <si>
    <t>Beszámoló formája:</t>
  </si>
  <si>
    <t>Eredmény megállapítás módszere:</t>
  </si>
  <si>
    <t xml:space="preserve">  </t>
  </si>
  <si>
    <t xml:space="preserve">Beszámoló formája:                       </t>
  </si>
  <si>
    <t>Küszöbértékek</t>
  </si>
  <si>
    <t>Egyszerűsített</t>
  </si>
  <si>
    <t>Konszolidált</t>
  </si>
  <si>
    <t>Mérlegfőösszeg (E Ft)</t>
  </si>
  <si>
    <t>Nettó árbevétel (E Ft)</t>
  </si>
  <si>
    <t>Létszám (fő)</t>
  </si>
  <si>
    <t>Mérlegbeszámoló</t>
  </si>
  <si>
    <t>Előző év</t>
  </si>
  <si>
    <t>Tárgyév</t>
  </si>
  <si>
    <t>A. Befektetett eszközök (2.+10.+18. sor)</t>
  </si>
  <si>
    <t xml:space="preserve">  I. IMMATERIÁLIS JAVAK (3.-9. sorok)</t>
  </si>
  <si>
    <t>1. Alapítás-átszervezés aktívált értéke</t>
  </si>
  <si>
    <t>2. Kísérleti fejlesztés aktívált értéke</t>
  </si>
  <si>
    <t>3. Vagyoni értékű jogok</t>
  </si>
  <si>
    <t>4. Szellemi termékek</t>
  </si>
  <si>
    <t>5. Üzleti vagy cégérték</t>
  </si>
  <si>
    <t>6. Immateriális javakra adott előlegek</t>
  </si>
  <si>
    <t>7. Immateriális javak értékhelyesbítése</t>
  </si>
  <si>
    <t xml:space="preserve">  II. TÁRGYI ESZKÖZÖK (11.-17. sor)</t>
  </si>
  <si>
    <t>1. Ingatlanok és a kapcsolódó vagyoni értékű jogok</t>
  </si>
  <si>
    <t>2. Műszaki berendezések, gépek, járművek</t>
  </si>
  <si>
    <t>3. Egyéb berendezések, felszerelések, járművek</t>
  </si>
  <si>
    <t>4. Tenyészállatok</t>
  </si>
  <si>
    <t>5.  Beruházások, felújítások</t>
  </si>
  <si>
    <t>6.  Beruházásokra adott előleg</t>
  </si>
  <si>
    <t>7. Tárgyi eszközök értékhelyesbítése</t>
  </si>
  <si>
    <t xml:space="preserve">  III. BEFEKTETETT PÉNZÜGYI ESZKÖZÖK (19.-28. sor)</t>
  </si>
  <si>
    <t>1. Tartós részesedés kapcsolt vállalkozásban</t>
  </si>
  <si>
    <t>2. Tartósan adott kölcsön kapcsolt vállalkozásban</t>
  </si>
  <si>
    <t>3. Tartós jelentős tulajdoni részesedés</t>
  </si>
  <si>
    <t>4. Tartósan adott kölcsön jelentős tulajdoni részesedési viszonyban álló vállalkozásban</t>
  </si>
  <si>
    <t>5. Egyéb tartós részesedés</t>
  </si>
  <si>
    <t>7. Egyéb tartósan adott kölcsön</t>
  </si>
  <si>
    <t>8. Tartós hitelviszonyt megtestesítő értékpapír</t>
  </si>
  <si>
    <t>9.  Befektetett pénzügyi eszközök értékhelyesbítése</t>
  </si>
  <si>
    <t>10.Befektetett pénzügyi eszközök értékelési különbözete</t>
  </si>
  <si>
    <t>B. Forgóeszközök (30.+37.+46.+53. sor)</t>
  </si>
  <si>
    <t xml:space="preserve">  I. KÉSZLETEK (31.-36. sorok)</t>
  </si>
  <si>
    <t>1. Anyagok</t>
  </si>
  <si>
    <t>2. Befejezetlen termelés és félkész termékek</t>
  </si>
  <si>
    <t>3. Növedék-, hízó- és egyéb állatok</t>
  </si>
  <si>
    <t>4. Késztermékek</t>
  </si>
  <si>
    <t>5. Áruk</t>
  </si>
  <si>
    <t>6. Készletekre adott előlegek</t>
  </si>
  <si>
    <t xml:space="preserve">  II. KÖVETELÉSEK (38.-45. sor)</t>
  </si>
  <si>
    <t>1. Követelések áruszállításból és szolgáltatásokból (vevők)</t>
  </si>
  <si>
    <t>2. Követelések kapcsolt vállalkozással szemben</t>
  </si>
  <si>
    <t>4. Követelések egyéb részesedési viszonyban lévő vállalkozással szemben</t>
  </si>
  <si>
    <t>5. Váltókövetelések</t>
  </si>
  <si>
    <t>6. Egyéb követelések</t>
  </si>
  <si>
    <t>7. Követelések értékelési különbözete</t>
  </si>
  <si>
    <t>8. Származékos ügyletek pozitív értékelési különbözete</t>
  </si>
  <si>
    <t xml:space="preserve">  III. ÉRTÉKPAPÍROK (47.-52. sorok)</t>
  </si>
  <si>
    <t>1. Részesedés kapcsolt vállalkozásban</t>
  </si>
  <si>
    <t>2. Jelentős tulajdoni részesedéd</t>
  </si>
  <si>
    <t>2. Egyéb részesedés</t>
  </si>
  <si>
    <t>3. Saját részvények, saját üzletrészek</t>
  </si>
  <si>
    <t>4. Forgatási célú hitelviszonyt megtestesítő értékpapírok</t>
  </si>
  <si>
    <t>5. Értékpapírok értékelési különbözete</t>
  </si>
  <si>
    <t xml:space="preserve">  IV. PÉNZESZKÖZÖK (54.-55. sor)</t>
  </si>
  <si>
    <t>1. Pénztár, csekkek</t>
  </si>
  <si>
    <t>2. Bankbetétek</t>
  </si>
  <si>
    <t>C. Aktív időbeli elhatárolások (57.-59.sor)</t>
  </si>
  <si>
    <t>1. Bevételek aktív időbeli elhatárolása</t>
  </si>
  <si>
    <t>2. Költségek, ráfordítások aktív időbeli elhatárolása</t>
  </si>
  <si>
    <t xml:space="preserve">3. Halasztott ráfordítások </t>
  </si>
  <si>
    <t>ESZKÖZÖK (AKTÍVÁK) ÖSSZESEN (1.+30.+56. sor)</t>
  </si>
  <si>
    <t>D. Saját tőke (62.+64.+65.+66.+67.+68.+71. sor)</t>
  </si>
  <si>
    <t xml:space="preserve">  I. JEGYZETT TŐKE</t>
  </si>
  <si>
    <t xml:space="preserve">  I/a Ebből: visszavásárolt tulajdonosi részesedés névértéken</t>
  </si>
  <si>
    <t xml:space="preserve">  II. JEGYZETT, DE MÉG BE NEM FIZETETT TŐKE (-)</t>
  </si>
  <si>
    <t xml:space="preserve">  III. TŐKETARTALÉK</t>
  </si>
  <si>
    <t xml:space="preserve">  IV. EREDMÉNYTARTALÉK</t>
  </si>
  <si>
    <t xml:space="preserve">  V.  LEKÖTÖTT TARTALÉK</t>
  </si>
  <si>
    <t xml:space="preserve">  VI. ÉRTÉKELÉSI TARTALÉK</t>
  </si>
  <si>
    <t>1.  Értékhelyesbítés értékelési tartaléka</t>
  </si>
  <si>
    <t>2.  Valós értékelés értékelési tartaléka</t>
  </si>
  <si>
    <t xml:space="preserve">  VII. ADÓZOTT EREDMÉNY</t>
  </si>
  <si>
    <t>E. Céltartalékok (73.-75. sor)</t>
  </si>
  <si>
    <t>1. Céltartalék a várható kötelezettségekre</t>
  </si>
  <si>
    <t>2. Céltartalék a jövőbeni költségekre</t>
  </si>
  <si>
    <t>3. Egyéb céltartalék</t>
  </si>
  <si>
    <t>F. Kötelezettségek (77.+78.+92. sor)</t>
  </si>
  <si>
    <t xml:space="preserve"> I. HÁTRASOROLT KÖTELEZETTSÉGEK (78.+81. sor)  </t>
  </si>
  <si>
    <t>1.  Hátrasorolt kötelettségekek kapcsolt vállalkozással szemben</t>
  </si>
  <si>
    <t>4.  Hátrasorolt kötelezettségek egyéb gazdálkodóval szemben</t>
  </si>
  <si>
    <t xml:space="preserve">  II. HOSSZÚ LEJÁRATÚ KÖTELEZETTSÉGEK (83.-91. sor)</t>
  </si>
  <si>
    <t>1. Hosszú lejáratra kapott kölcsönök</t>
  </si>
  <si>
    <t>2. Átváltoztatható kötvények</t>
  </si>
  <si>
    <t>3. Tartozások kötvénykibocsátásból</t>
  </si>
  <si>
    <t>4.  Beruházási és fejlesztési hitelek</t>
  </si>
  <si>
    <t>5.  Egyéb hosszú lejáratú hitelek</t>
  </si>
  <si>
    <t xml:space="preserve">6. Tartós kötelezettségek kapcsolt vállalkozással szemben </t>
  </si>
  <si>
    <t>7. Tartós kötelezettségek jelentős tulajdoni részesedési viszonyban lévő vállalkozásokkal szemben</t>
  </si>
  <si>
    <t>9. Egyéb hosszú lejáratú kötelezettségek</t>
  </si>
  <si>
    <t xml:space="preserve"> III. RÖVID LEJÁRATÚ KÖTELEZETTSÉGEK (93.-104. sorok)</t>
  </si>
  <si>
    <t>1. Rövid lejáratú kölcsönök</t>
  </si>
  <si>
    <t xml:space="preserve">     - Ebből: az átváltoztatható kötvények</t>
  </si>
  <si>
    <t>2. Rövid lejáratú hitelek</t>
  </si>
  <si>
    <t>3.  Vevőtől kapott előlegek</t>
  </si>
  <si>
    <t>4.  Kötelezettségek áruszállításból és szolgáltatásból (szállítók)</t>
  </si>
  <si>
    <t>5.  Váltótartozások</t>
  </si>
  <si>
    <t>6.  Rövid lejáratú kötelettségek kapcsolt vállalkozással szemben</t>
  </si>
  <si>
    <t>9.  Egyéb rövid lejáratú kötelezettségek</t>
  </si>
  <si>
    <t>10. Kötelezettségek értékelési különbözete</t>
  </si>
  <si>
    <t>11. Származékos ügyletek negatív értékelési különbözete</t>
  </si>
  <si>
    <t>G. Passzív időbeli elhatárolások (106.-107. sor)</t>
  </si>
  <si>
    <t>1.  Bevételek passzív időbeli elhatárolása</t>
  </si>
  <si>
    <t>2.  Költségek, ráfordítások passzív időbeli elhatárolása</t>
  </si>
  <si>
    <t>3.  Halasztott bevételek</t>
  </si>
  <si>
    <t>FORRÁSOK (PASSZÍVÁK) ÖSSZESEN (61.+72.+76.+105. sor)</t>
  </si>
  <si>
    <t>Eredménykimutatás összköltséges</t>
  </si>
  <si>
    <t xml:space="preserve">   01. Belföldi értékesítés nettó árbevétele</t>
  </si>
  <si>
    <t xml:space="preserve">   02. Export értékesítés nettó árbevétele</t>
  </si>
  <si>
    <t>I.   ÉRTÉKESÍTÉS NETTÓ ÁRBEVÉTELE (01+02)</t>
  </si>
  <si>
    <t xml:space="preserve">   03. Saját termelésű készletek állományváltozása</t>
  </si>
  <si>
    <t xml:space="preserve">   04. Saját előállítású eszközök aktivált értéke</t>
  </si>
  <si>
    <t>II.  AKTIVÁLT SAJÁT TELJ.-EK ÉRTÉKE (3±4)</t>
  </si>
  <si>
    <t>III. EGYÉB BEVÉTELEK</t>
  </si>
  <si>
    <t xml:space="preserve">  Ebből: visszaírt értékvesztés</t>
  </si>
  <si>
    <t xml:space="preserve">   05. Anyagköltség</t>
  </si>
  <si>
    <t xml:space="preserve">   06. Igénybe vett szolgáltatások értéke</t>
  </si>
  <si>
    <t xml:space="preserve">   07. Egyéb szolgáltatások értéke</t>
  </si>
  <si>
    <t xml:space="preserve">   08. Eladott áruk beszerzési értéke</t>
  </si>
  <si>
    <t xml:space="preserve">   09. Eladott (közvetített) szolgáltatások értéke</t>
  </si>
  <si>
    <t>IV. ANYAGJELLEGŰ RÁFORDÍTÁSOK (05+06+07+08+09)</t>
  </si>
  <si>
    <t xml:space="preserve">   10. Bérköltség</t>
  </si>
  <si>
    <t xml:space="preserve">   11. Személyi jellegű egyéb kifizetések</t>
  </si>
  <si>
    <t xml:space="preserve">   12. Bérjárulékok</t>
  </si>
  <si>
    <t>V.  SZEMÉLYI JELLEGŰ RÁFORDÍTÁSOK (10+11+12)</t>
  </si>
  <si>
    <t>VI. ÉRTÉKCSÖKKENÉSI LEÍRÁS</t>
  </si>
  <si>
    <t>VII. EGYÉB RÁFORDÍTÁSOK</t>
  </si>
  <si>
    <t xml:space="preserve">  Ebből: értékvesztés</t>
  </si>
  <si>
    <t>A. ÜZEMI (üzleti)TEVÉKENYSÉG EREDMÉNYE(I±II+III-IV-V-VI-VII)</t>
  </si>
  <si>
    <t xml:space="preserve">   13. Kapott (járó) osztalék és részesedés</t>
  </si>
  <si>
    <t xml:space="preserve">  Ebből: kapcsolt vállalkozástól kapott</t>
  </si>
  <si>
    <t xml:space="preserve">   14. Részesedésekből származó bevételek, árfolyamnyereségek</t>
  </si>
  <si>
    <t xml:space="preserve">  Ebből: kapcsolt vállalkozástól kapott </t>
  </si>
  <si>
    <t xml:space="preserve">  Ebből: kapcsolt vállalkozásoktól kapott</t>
  </si>
  <si>
    <t xml:space="preserve">   16. Egyéb kapott (járó) kamatok és kamatjellegű bevételek</t>
  </si>
  <si>
    <t xml:space="preserve">   17. Pénzügyi műveletek egyéb bevételei</t>
  </si>
  <si>
    <t xml:space="preserve">  Ebből: értékelési különbözet</t>
  </si>
  <si>
    <t>VIII. PÉNZÜGYI MŰVELETEK BEVÉTELEI (13+14+15+16+17)</t>
  </si>
  <si>
    <t xml:space="preserve">   18. Részesedésekből származó ráfordítások, árfolyamveszteségek</t>
  </si>
  <si>
    <t xml:space="preserve">  Ebből: kapcsolt vállalkozásnak adott</t>
  </si>
  <si>
    <t xml:space="preserve">   19. Befektetett pénzügyi eszközökből (érrtékpapírokból, kölcsönökből) származó ráfordítások</t>
  </si>
  <si>
    <t xml:space="preserve">   20. Fizetendő kamatok és kamatjellegű ráfordítások</t>
  </si>
  <si>
    <t xml:space="preserve">   21. Részesedések, értékpapírok, bankbetétek értékvesztése</t>
  </si>
  <si>
    <t xml:space="preserve">   22. Pénzügyi műveletek egyéb ráfordításai</t>
  </si>
  <si>
    <t>IX. PÉNZÜGYI MŰVELETEK RÁFORDÍTÁSAI (18+19±20+21+22)</t>
  </si>
  <si>
    <t>B. PÉNZÜGYI MŰVELETEK EREDMÉNYE (VIII.-IX.)</t>
  </si>
  <si>
    <t>C. ADÓZÁS ELŐTTI EREDMÉNY ( ±A±B)</t>
  </si>
  <si>
    <t>X. Adófizetési kötelezettség</t>
  </si>
  <si>
    <t>D. ADÓZOTT EREDMÉNY   (±C-X)</t>
  </si>
  <si>
    <t>Eredménykimutatás forgalmi költséges</t>
  </si>
  <si>
    <t xml:space="preserve">   03. Értékesítés elszámolt önköltsége</t>
  </si>
  <si>
    <t xml:space="preserve">   04. Eladott áruk beszerzési értéke</t>
  </si>
  <si>
    <t xml:space="preserve">   05. Eladott (közvetített) szolgáltatások értéke</t>
  </si>
  <si>
    <t>II.  Értékesítés közvetlen költségei (03+04+05)</t>
  </si>
  <si>
    <t>III. Értékesítés bruttó eredménye (I-II)</t>
  </si>
  <si>
    <t xml:space="preserve">   06. Értékesítési, forgalmazási költségek</t>
  </si>
  <si>
    <t xml:space="preserve">   07. Igazgatási költségek</t>
  </si>
  <si>
    <t xml:space="preserve">   08. Egyéb általános költségek</t>
  </si>
  <si>
    <t>IV. Az értékesítés közvetett költségei (06+07+08)</t>
  </si>
  <si>
    <t>V . EGYÉB BEVÉTELEK</t>
  </si>
  <si>
    <t>VI. EGYÉB RÁFORDÍTÁSOK</t>
  </si>
  <si>
    <t>A. ÜZEMI (üzleti)TEVÉKENYSÉG EREDMÉNYE(±III-IV+V-VI)</t>
  </si>
  <si>
    <t xml:space="preserve">   9. Kapott (járó) osztalék és részesedés</t>
  </si>
  <si>
    <t xml:space="preserve">   10. Részesedésekből származó bevételek, árfolyamnyereségek</t>
  </si>
  <si>
    <t xml:space="preserve">   11. Befektetett pénzügyi eszközökből (értékpapírokbó, kölcsönökből származó bevételek, árfolyamnyereségek</t>
  </si>
  <si>
    <t xml:space="preserve">   12. Egyéb kapott (járó) kamatok és kamatjellegű bevételek</t>
  </si>
  <si>
    <t xml:space="preserve">   13. Pénzügyi műveletek egyéb bevételei</t>
  </si>
  <si>
    <t>VIII. PÉNZÜGYI MŰVELETEK BEVÉTELEI (9+10+11+12+13)</t>
  </si>
  <si>
    <t xml:space="preserve">   14. Részesedésekből származó ráfordítások, árfolyamveszteségek</t>
  </si>
  <si>
    <t xml:space="preserve">   15. Befektetett pénzügyi eszközökből (érrtékpapírokból, kölcsönökből) származó ráfordítások</t>
  </si>
  <si>
    <t xml:space="preserve">   16. Fizetendő kamatok és kamatjellegű ráfordítások</t>
  </si>
  <si>
    <t xml:space="preserve">   17. Részesedések, értékpapírok, bankbetétek értékvesztése</t>
  </si>
  <si>
    <t xml:space="preserve">   18. Pénzügyi műveletek egyéb ráfordításai</t>
  </si>
  <si>
    <t>IX. PÉNZÜGYI MŰVELETEK RÁFORDÍTÁSAI (14+15±16+17+18)</t>
  </si>
  <si>
    <t>B. PÉNZÜGYI MŰVELETEK EREDMÉNYE (VII.-VIII.)</t>
  </si>
  <si>
    <t>IX. Adófizetési kötelezettség</t>
  </si>
  <si>
    <t>D. ADÓZOTT EREDMÉNY   (±C-IX)</t>
  </si>
  <si>
    <t>MÉRLEGBESZÁMOLÓ</t>
  </si>
  <si>
    <t>Beszámoló nyelve:</t>
  </si>
  <si>
    <t>Borító</t>
  </si>
  <si>
    <t>Borítólap ( A3-as lapra másolva valódi borító)</t>
  </si>
  <si>
    <t>Ide írandó a megfelelő szám</t>
  </si>
  <si>
    <t>Ellenőr</t>
  </si>
  <si>
    <t>Mérlegösszefüggések ellenőrzése</t>
  </si>
  <si>
    <t>magyar</t>
  </si>
  <si>
    <t>Mérleg</t>
  </si>
  <si>
    <t>Mérleg "A" változat</t>
  </si>
  <si>
    <t>angol</t>
  </si>
  <si>
    <t>ER-Összk</t>
  </si>
  <si>
    <t xml:space="preserve">Eredménykimutatás (összköltségeljárással) </t>
  </si>
  <si>
    <t>német</t>
  </si>
  <si>
    <t>Er-Forg</t>
  </si>
  <si>
    <t>Eredménykimutatás (forgalmi költség eljárással)</t>
  </si>
  <si>
    <t>választott bármely nyelv</t>
  </si>
  <si>
    <t>MérlE_borító</t>
  </si>
  <si>
    <t>Egyszerűsített éves beszámoló Borítólap</t>
  </si>
  <si>
    <t>Nyelv munkalapon az idegen szóhasználat változtatható</t>
  </si>
  <si>
    <t>Mérl_Egysz</t>
  </si>
  <si>
    <t>Egyszerűsített éves beszámoló "A" Mérlege</t>
  </si>
  <si>
    <t>Nyelv</t>
  </si>
  <si>
    <t>Er-Ö_Egy'</t>
  </si>
  <si>
    <t>Egyszerűsített éves beszámoló Eredménykimutatás összköltséges</t>
  </si>
  <si>
    <t>Er-F_Egy'</t>
  </si>
  <si>
    <t>Egyszerűsített éves beszámoló  Eredménykimutatás forgalmi költséges</t>
  </si>
  <si>
    <t>Cash-Flow</t>
  </si>
  <si>
    <t>Értékadatok átvétele a mérlegből, adatmódosítási lehetőséggel</t>
  </si>
  <si>
    <t>Kiegészítő melléklet szerkezeti mintája, táblák és elemzések</t>
  </si>
  <si>
    <t xml:space="preserve">Használt </t>
  </si>
  <si>
    <t>táblák</t>
  </si>
  <si>
    <r>
      <rPr>
        <b/>
        <sz val="11"/>
        <rFont val="Arial CE"/>
        <family val="2"/>
        <charset val="238"/>
      </rPr>
      <t xml:space="preserve">I.  ÁLTALÁNOS RÉSZ </t>
    </r>
    <r>
      <rPr>
        <i/>
        <sz val="11"/>
        <rFont val="Arial CE"/>
        <family val="2"/>
        <charset val="238"/>
      </rPr>
      <t>(szabadon megfogalmazott, szöveges rész)</t>
    </r>
  </si>
  <si>
    <t>1.  A vállalkozás bemutatása</t>
  </si>
  <si>
    <t>a.  A vállalkozás szöveges bemutatása</t>
  </si>
  <si>
    <t>b.  A vállalkozás tulajdonosi szerkezete</t>
  </si>
  <si>
    <t>c.  A társaság tevékenységének bemutatása</t>
  </si>
  <si>
    <t>d.  A vállalkozás képviseletére jogosult</t>
  </si>
  <si>
    <t xml:space="preserve">     és a beszámoló aláírására kötelezett személyek</t>
  </si>
  <si>
    <t>2.  A kapcsolt vállalkozások bemutatása</t>
  </si>
  <si>
    <t>3.  Általános számviteli információk a vállalkozásról</t>
  </si>
  <si>
    <t>a.  A számviteli politika fő vonásai, jellemzői,</t>
  </si>
  <si>
    <t xml:space="preserve">     illetve a beszámoló összeállításánál alkalmazott szabályrendszer</t>
  </si>
  <si>
    <t>b.  A könyvviteli szolgáltatást végzők bemutatása</t>
  </si>
  <si>
    <t>c.  A vállalkozás könyvvizsgálatának bemutatása</t>
  </si>
  <si>
    <t>d.  A mérleg és eredménykimutatás formájának megválasztása</t>
  </si>
  <si>
    <t>e.  Az értékcsökkenés számításának módszerei</t>
  </si>
  <si>
    <r>
      <rPr>
        <b/>
        <sz val="11"/>
        <rFont val="Arial CE"/>
        <family val="2"/>
        <charset val="238"/>
      </rPr>
      <t>II.  SPECIÁLIS RÉSZ</t>
    </r>
    <r>
      <rPr>
        <i/>
        <sz val="11"/>
        <rFont val="Arial CE"/>
        <family val="2"/>
        <charset val="238"/>
      </rPr>
      <t xml:space="preserve"> (szöveges rész, melyben a lenti táblák felhasználhatók)</t>
    </r>
  </si>
  <si>
    <t>1.  Mérleghez kapcsolódó kiegészítések</t>
  </si>
  <si>
    <t>Mérlegadatok változása</t>
  </si>
  <si>
    <t>Mérleg_v</t>
  </si>
  <si>
    <t>a.  Eszközadatok elemzése</t>
  </si>
  <si>
    <t>Eszközök összetétele</t>
  </si>
  <si>
    <t>Eszközök</t>
  </si>
  <si>
    <t>Befektetett eszközök összetétele</t>
  </si>
  <si>
    <t>Befektetett_e</t>
  </si>
  <si>
    <t>Immat. javak és tárgyi eszközök áll. vált. (Befektetési tükör)</t>
  </si>
  <si>
    <t>Tárgyi</t>
  </si>
  <si>
    <t>Immat. javak és tárgyi eszközök bruttó érték változás</t>
  </si>
  <si>
    <t>TárgyiBtto</t>
  </si>
  <si>
    <t>Immat. javak és tárgyi eszközök értékcs., nettó érték vált</t>
  </si>
  <si>
    <t>Tárgyiécs</t>
  </si>
  <si>
    <t>Értékcsökkenési leírások alakulása</t>
  </si>
  <si>
    <t>T.értékcs.</t>
  </si>
  <si>
    <t>Befektetett pénzügyi eszközök változásai</t>
  </si>
  <si>
    <t>Befekt.pü_v</t>
  </si>
  <si>
    <t>Forgóeszközök összetétele</t>
  </si>
  <si>
    <t>Forgó_e</t>
  </si>
  <si>
    <t>Egyéb követelések</t>
  </si>
  <si>
    <t>Egyéb köv-köt</t>
  </si>
  <si>
    <t>Értékpapírok változása</t>
  </si>
  <si>
    <t>Értékp_v</t>
  </si>
  <si>
    <t>Aktív időbeli elhatárolások összetétele</t>
  </si>
  <si>
    <t>Aktív_ie</t>
  </si>
  <si>
    <t>b.  Forrásadatok elemzése</t>
  </si>
  <si>
    <t>Források összetétele</t>
  </si>
  <si>
    <t>Források</t>
  </si>
  <si>
    <t>Saját tőke összetétele</t>
  </si>
  <si>
    <t>Saját tőke</t>
  </si>
  <si>
    <t>Saját tőke változásai</t>
  </si>
  <si>
    <t>Saját tőke_v</t>
  </si>
  <si>
    <t>Céltartalékok összetétele</t>
  </si>
  <si>
    <t>Céltartalék</t>
  </si>
  <si>
    <t>Kötelezettségek összetétele</t>
  </si>
  <si>
    <t>Kötelezettségek</t>
  </si>
  <si>
    <t>Egyéb kötelezettségek</t>
  </si>
  <si>
    <t>Passzív időbeli elhatárolások összetétele</t>
  </si>
  <si>
    <t>Passzív_ie</t>
  </si>
  <si>
    <t>2.  Eredménykimutatáshoz kapcsolódó kiegészítések</t>
  </si>
  <si>
    <t>Összköltséges eredménykimutatás változása</t>
  </si>
  <si>
    <t>Összk_eredm</t>
  </si>
  <si>
    <t>Forgalmi költséges eredménykimutatás változása</t>
  </si>
  <si>
    <t>Forgalmi_eredm</t>
  </si>
  <si>
    <t>Költségek és ráfordítások alakulása</t>
  </si>
  <si>
    <t>Költség_ráford</t>
  </si>
  <si>
    <t>Költségszerkezet alakulása</t>
  </si>
  <si>
    <t>Költségszerkezet</t>
  </si>
  <si>
    <t>Eredménykategóriák arányai</t>
  </si>
  <si>
    <t>Eredmény_kat</t>
  </si>
  <si>
    <t>Társasági adóalap és adó számítása</t>
  </si>
  <si>
    <t>Társasági_adó</t>
  </si>
  <si>
    <t>3.  A vállalkozás vagyoni, pénzügyi és jövedelmi helyzetének elemzése</t>
  </si>
  <si>
    <t>a.  A vagyoni helyzet értékelése</t>
  </si>
  <si>
    <t>Vagyoni helyzet mutatói</t>
  </si>
  <si>
    <t>Vagyoni _mut</t>
  </si>
  <si>
    <t>Vagyon-működtetés hatékonysága</t>
  </si>
  <si>
    <t>Vagyoni _mut_h</t>
  </si>
  <si>
    <t>b.  A pénzügyi helyzet értékelése</t>
  </si>
  <si>
    <t>Pénzügyi struktúra mutatói</t>
  </si>
  <si>
    <t>Pénzügy_mut</t>
  </si>
  <si>
    <t>Adósságszolgálat mutatók</t>
  </si>
  <si>
    <t>Adósság_szolg</t>
  </si>
  <si>
    <t>c.  Likviditási helyzet értékelése</t>
  </si>
  <si>
    <t>Határidőn túli kintlévőségek alakulása</t>
  </si>
  <si>
    <t>Hatidőn_túli</t>
  </si>
  <si>
    <t>Likviditási mutatók</t>
  </si>
  <si>
    <t>Likviditási mut.</t>
  </si>
  <si>
    <t>Több fokozatú likviditási mérleg</t>
  </si>
  <si>
    <t>Több fok. likvid.</t>
  </si>
  <si>
    <t>d.  Jövedelmi helyzet vizsgálata</t>
  </si>
  <si>
    <t>Táblák:</t>
  </si>
  <si>
    <t>Jövedelmezőségi mutatók</t>
  </si>
  <si>
    <t>Jövedelem</t>
  </si>
  <si>
    <t>e.  Munkavállalók létszám- és béradatainak elemzése</t>
  </si>
  <si>
    <t>Foglalkoztatottak létszáma és keresete</t>
  </si>
  <si>
    <t>Létszám</t>
  </si>
  <si>
    <t>f. Általános mutatók</t>
  </si>
  <si>
    <t>Mutatók</t>
  </si>
  <si>
    <t>4.  Mérlegen kívüli tételek</t>
  </si>
  <si>
    <t>5.  Egyéb információk</t>
  </si>
  <si>
    <t>Vissza a beszámolóhoz</t>
  </si>
  <si>
    <t>-</t>
  </si>
  <si>
    <t>Eszköz - Forrás egyezőség</t>
  </si>
  <si>
    <t>Adózott eredmény  (Mérlegben - Ök eredménykimutatásban)</t>
  </si>
  <si>
    <t>Adózott eredmény  ( Ök -  Forg. eredménykimutatásban)</t>
  </si>
  <si>
    <t>Érték helyesbítés  =  Értékelési tartalék</t>
  </si>
  <si>
    <t>Sajáttermelésű készlet változás  ( Mérleg - Ök eredménykimutatás)</t>
  </si>
  <si>
    <t>Cash Flow  - Beszámoló CF</t>
  </si>
  <si>
    <t>1 / 1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</si>
  <si>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</si>
  <si>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</si>
  <si>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</si>
  <si>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</si>
  <si>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</si>
  <si>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</si>
  <si>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</si>
  <si>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</si>
  <si>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</si>
  <si>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</si>
  <si>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</si>
  <si>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</si>
  <si>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</si>
  <si>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</si>
  <si>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</si>
  <si>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</si>
  <si>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</si>
  <si>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</si>
  <si>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</si>
  <si>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</si>
  <si>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</si>
  <si>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</si>
  <si>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</si>
  <si>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22.</t>
  </si>
  <si>
    <t>23.</t>
  </si>
  <si>
    <t>24.</t>
  </si>
  <si>
    <t>25.</t>
  </si>
  <si>
    <t>26.</t>
  </si>
  <si>
    <t>27.</t>
  </si>
  <si>
    <t>28.</t>
  </si>
  <si>
    <t>1 / 2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</si>
  <si>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</si>
  <si>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</si>
  <si>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</si>
  <si>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</si>
  <si>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</si>
  <si>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</si>
  <si>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</si>
  <si>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</si>
  <si>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</si>
  <si>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</si>
  <si>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</si>
  <si>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</si>
  <si>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</si>
  <si>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</si>
  <si>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</si>
  <si>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</si>
  <si>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</si>
  <si>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</si>
  <si>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</si>
  <si>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</si>
  <si>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</si>
  <si>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</si>
  <si>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</si>
  <si>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</si>
  <si>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</si>
  <si>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</si>
  <si>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</si>
  <si>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</si>
  <si>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</si>
  <si>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</si>
  <si>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</si>
  <si>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</si>
  <si>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1 / 3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</si>
  <si>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</si>
  <si>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</si>
  <si>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</si>
  <si>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</si>
  <si>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</si>
  <si>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</si>
  <si>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</si>
  <si>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</si>
  <si>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</si>
  <si>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</si>
  <si>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</si>
  <si>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</si>
  <si>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</si>
  <si>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</si>
  <si>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</si>
  <si>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</si>
  <si>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</si>
  <si>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</si>
  <si>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</si>
  <si>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</si>
  <si>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</si>
  <si>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1 / 4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</si>
  <si>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</si>
  <si>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</si>
  <si>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</si>
  <si>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</si>
  <si>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</si>
  <si>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</si>
  <si>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</si>
  <si>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</si>
  <si>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</si>
  <si>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</si>
  <si>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</si>
  <si>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</si>
  <si>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</si>
  <si>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</si>
  <si>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</si>
  <si>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</si>
  <si>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</si>
  <si>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</si>
  <si>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</si>
  <si>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</si>
  <si>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</si>
  <si>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</si>
  <si>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</si>
  <si>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</si>
  <si>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</si>
  <si>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</si>
  <si>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</si>
  <si>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</si>
  <si>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2 / 1</t>
  </si>
  <si>
    <t>19.</t>
  </si>
  <si>
    <t>20.</t>
  </si>
  <si>
    <t>21.</t>
  </si>
  <si>
    <t>2 / 2</t>
  </si>
  <si>
    <t>(Forgalmi költség eljárással)</t>
  </si>
  <si>
    <t>3 / 1</t>
  </si>
  <si>
    <t>3 / 2</t>
  </si>
  <si>
    <t>I.</t>
  </si>
  <si>
    <t>II.</t>
  </si>
  <si>
    <t>III.</t>
  </si>
  <si>
    <t>IV.</t>
  </si>
  <si>
    <t>Összeg</t>
  </si>
  <si>
    <t>Statisztikai számjel</t>
  </si>
  <si>
    <t>Cégjegyzék száma</t>
  </si>
  <si>
    <t>a vállalkozás megnevezése</t>
  </si>
  <si>
    <t>a vállalkozás címe, telefonszáma</t>
  </si>
  <si>
    <t>a vállalkozás vezetője</t>
  </si>
  <si>
    <t>(képviselője)</t>
  </si>
  <si>
    <t>"A" MÉRLEGE</t>
  </si>
  <si>
    <r>
      <rPr>
        <b/>
        <sz val="10"/>
        <rFont val="Arial CE"/>
        <family val="2"/>
        <charset val="238"/>
      </rPr>
      <t xml:space="preserve">A. Befektetett eszközök </t>
    </r>
    <r>
      <rPr>
        <sz val="10"/>
        <rFont val="Arial CE"/>
        <family val="2"/>
        <charset val="238"/>
      </rPr>
      <t>(2+3+4 sor)</t>
    </r>
  </si>
  <si>
    <t xml:space="preserve">  I. IMMATERIÁLIS JAVAK</t>
  </si>
  <si>
    <t xml:space="preserve">  II. TÁRGYI ESZKÖZÖK</t>
  </si>
  <si>
    <t xml:space="preserve">  III. BEFEKTETETT PÉNZÜGYI ESZKÖZÖK</t>
  </si>
  <si>
    <r>
      <rPr>
        <b/>
        <sz val="10"/>
        <rFont val="Arial CE"/>
        <family val="2"/>
        <charset val="238"/>
      </rPr>
      <t xml:space="preserve">B. Forgóeszközök </t>
    </r>
    <r>
      <rPr>
        <sz val="10"/>
        <rFont val="Arial CE"/>
        <family val="2"/>
        <charset val="238"/>
      </rPr>
      <t>(6-9 sorok)</t>
    </r>
  </si>
  <si>
    <t xml:space="preserve">  I. KÉSZLETEK</t>
  </si>
  <si>
    <t xml:space="preserve">  II. KÖVETELÉSEK</t>
  </si>
  <si>
    <t xml:space="preserve">  III. ÉRTÉKPAPIROK</t>
  </si>
  <si>
    <t xml:space="preserve">  IV. PÉNZESZKÖZÖK</t>
  </si>
  <si>
    <t>C. Aktív időbeli elhatárolások</t>
  </si>
  <si>
    <r>
      <rPr>
        <b/>
        <sz val="10"/>
        <rFont val="Arial CE"/>
        <family val="2"/>
        <charset val="238"/>
      </rPr>
      <t xml:space="preserve">ESZKÖZÖK (AKTIVÁK) ÖSSZESEN </t>
    </r>
    <r>
      <rPr>
        <sz val="10"/>
        <rFont val="Arial CE"/>
        <family val="2"/>
        <charset val="238"/>
      </rPr>
      <t>(1+5+10 sor)</t>
    </r>
  </si>
  <si>
    <t>Források (passzívák)</t>
  </si>
  <si>
    <r>
      <rPr>
        <b/>
        <sz val="10"/>
        <rFont val="Arial CE"/>
        <family val="2"/>
        <charset val="238"/>
      </rPr>
      <t>D. Saját tőke</t>
    </r>
    <r>
      <rPr>
        <sz val="10"/>
        <rFont val="Arial CE"/>
        <family val="2"/>
        <charset val="238"/>
      </rPr>
      <t xml:space="preserve"> (13+15+16+17+18+19+20 sor)</t>
    </r>
  </si>
  <si>
    <t xml:space="preserve">   Ebből:  visszavásárolt tulajdonosi részesedés névértéken</t>
  </si>
  <si>
    <t xml:space="preserve">  II. JEGYZETT DE MÉG BE NEM FIZETETT TŐKE (-)</t>
  </si>
  <si>
    <t xml:space="preserve">  V. LEKÖTÖTT TARTALÉK</t>
  </si>
  <si>
    <t xml:space="preserve">  VII.ADÓZOTT EREDMÉNY</t>
  </si>
  <si>
    <t>E. Céltartalékok</t>
  </si>
  <si>
    <r>
      <rPr>
        <b/>
        <sz val="10"/>
        <rFont val="Arial CE"/>
        <family val="2"/>
        <charset val="238"/>
      </rPr>
      <t>F. Kötelezettségek</t>
    </r>
    <r>
      <rPr>
        <sz val="10"/>
        <rFont val="Arial CE"/>
        <family val="2"/>
        <charset val="238"/>
      </rPr>
      <t xml:space="preserve"> (23-25 sorok)</t>
    </r>
  </si>
  <si>
    <t xml:space="preserve">  I.  HÁTRASOROLT KÖTELEZETTSÉGEK</t>
  </si>
  <si>
    <t xml:space="preserve">  II. HOSSZÚ LEJÁRATÚ KÖTELEZETTSÉGEK</t>
  </si>
  <si>
    <t xml:space="preserve">  III. RÖVID LEJÁRATÚ KÖTELEZETTSÉGEK</t>
  </si>
  <si>
    <t>G. Passzív időbeli elhatárolások</t>
  </si>
  <si>
    <r>
      <rPr>
        <b/>
        <sz val="10"/>
        <rFont val="Arial CE"/>
        <family val="2"/>
        <charset val="238"/>
      </rPr>
      <t xml:space="preserve">FORRÁSOK (PASSZIVÁK) ÖSSZESEN </t>
    </r>
    <r>
      <rPr>
        <sz val="10"/>
        <rFont val="Arial CE"/>
        <family val="2"/>
        <charset val="238"/>
      </rPr>
      <t>(12+21+22+26 sor)</t>
    </r>
  </si>
  <si>
    <t xml:space="preserve"> EREDMÉNYKIMUTATÁSA</t>
  </si>
  <si>
    <t>(összköltség eljárással)</t>
  </si>
  <si>
    <t>Értékesítés nettó árbevétele</t>
  </si>
  <si>
    <t>Aktívált saját teljesítmények értéke</t>
  </si>
  <si>
    <t>Egyéb bevételek</t>
  </si>
  <si>
    <t>Anyagjellegű ráfordítások</t>
  </si>
  <si>
    <t>V.</t>
  </si>
  <si>
    <t>Személyi jellegű ráfordítások</t>
  </si>
  <si>
    <t>VI.</t>
  </si>
  <si>
    <t>Értékcsökkenési leírás</t>
  </si>
  <si>
    <t>VII.</t>
  </si>
  <si>
    <t>Egyéb ráfordítások</t>
  </si>
  <si>
    <t>A.</t>
  </si>
  <si>
    <r>
      <rPr>
        <b/>
        <sz val="8"/>
        <rFont val="Arial CE"/>
        <family val="2"/>
        <charset val="238"/>
      </rPr>
      <t xml:space="preserve">ÜZEMI (ÜZLETI) TEVÉKENYSÉG EREDMÉNYE </t>
    </r>
    <r>
      <rPr>
        <sz val="8"/>
        <rFont val="Arial CE"/>
        <family val="2"/>
        <charset val="238"/>
      </rPr>
      <t>(I+II+III-IV-V-VI-VII)</t>
    </r>
  </si>
  <si>
    <t>VIII.</t>
  </si>
  <si>
    <t>Pénzügyi műveletek bevételei</t>
  </si>
  <si>
    <t>IX.</t>
  </si>
  <si>
    <t>Pénzügyi műveletek ráfordításai</t>
  </si>
  <si>
    <t>B.</t>
  </si>
  <si>
    <r>
      <rPr>
        <b/>
        <sz val="10"/>
        <rFont val="Arial CE"/>
        <family val="2"/>
        <charset val="238"/>
      </rPr>
      <t>PÉNZÜGYI MŰVELETEK EREDMÉNYE</t>
    </r>
    <r>
      <rPr>
        <sz val="10"/>
        <rFont val="Arial CE"/>
        <family val="2"/>
        <charset val="238"/>
      </rPr>
      <t xml:space="preserve"> (VIII-IX)</t>
    </r>
  </si>
  <si>
    <t>C.</t>
  </si>
  <si>
    <r>
      <rPr>
        <b/>
        <sz val="10"/>
        <rFont val="Arial CE"/>
        <family val="2"/>
        <charset val="238"/>
      </rPr>
      <t>ADÓZÁS ELŐTTI EREDMÉNY</t>
    </r>
    <r>
      <rPr>
        <sz val="10"/>
        <rFont val="Arial CE"/>
        <family val="2"/>
        <charset val="238"/>
      </rPr>
      <t xml:space="preserve"> (±C±D)</t>
    </r>
  </si>
  <si>
    <t>X.</t>
  </si>
  <si>
    <t>Adófizetési kötelezettség</t>
  </si>
  <si>
    <t>D.</t>
  </si>
  <si>
    <r>
      <rPr>
        <b/>
        <sz val="10"/>
        <rFont val="Arial CE"/>
        <family val="2"/>
        <charset val="238"/>
      </rPr>
      <t xml:space="preserve">ADÓZOTT EREDMÉNY </t>
    </r>
    <r>
      <rPr>
        <sz val="10"/>
        <rFont val="Arial CE"/>
        <family val="2"/>
        <charset val="238"/>
      </rPr>
      <t>(±E-XII)</t>
    </r>
  </si>
  <si>
    <t>EREDMÉNYKIMUTATÁSA</t>
  </si>
  <si>
    <t>(forgalmi költség eljárással)</t>
  </si>
  <si>
    <t>Értékesítés közvetlen költségei</t>
  </si>
  <si>
    <t>Értékesítés bruttó eredménye</t>
  </si>
  <si>
    <t>Az értékesítés közvetett költségei</t>
  </si>
  <si>
    <r>
      <rPr>
        <b/>
        <sz val="10"/>
        <rFont val="Arial CE"/>
        <family val="2"/>
        <charset val="238"/>
      </rPr>
      <t xml:space="preserve">ÜZEMI (ÜZLETI) TEVÉKENYSÉG EREDMÉNYE </t>
    </r>
    <r>
      <rPr>
        <sz val="10"/>
        <rFont val="Arial CE"/>
        <family val="2"/>
        <charset val="238"/>
      </rPr>
      <t>(±III-V+V-VI)</t>
    </r>
  </si>
  <si>
    <r>
      <rPr>
        <b/>
        <sz val="10"/>
        <rFont val="Arial CE"/>
        <family val="2"/>
        <charset val="238"/>
      </rPr>
      <t>PÉNZÜGYI MŰVELETEK EREDMÉNYE</t>
    </r>
    <r>
      <rPr>
        <sz val="10"/>
        <rFont val="Arial CE"/>
        <family val="2"/>
        <charset val="238"/>
      </rPr>
      <t xml:space="preserve"> (VII-VIII)</t>
    </r>
  </si>
  <si>
    <r>
      <rPr>
        <b/>
        <sz val="10"/>
        <rFont val="Arial CE"/>
        <family val="2"/>
        <charset val="238"/>
      </rPr>
      <t>ADÓZÁS ELŐTTI EREDMÉNY</t>
    </r>
    <r>
      <rPr>
        <sz val="10"/>
        <rFont val="Arial CE"/>
        <family val="2"/>
        <charset val="238"/>
      </rPr>
      <t xml:space="preserve"> (±A±B)</t>
    </r>
  </si>
  <si>
    <r>
      <rPr>
        <b/>
        <sz val="10"/>
        <rFont val="Arial CE"/>
        <family val="2"/>
        <charset val="238"/>
      </rPr>
      <t xml:space="preserve">ADÓZOTT EREDMÉNY </t>
    </r>
    <r>
      <rPr>
        <sz val="10"/>
        <rFont val="Arial CE"/>
        <family val="2"/>
        <charset val="238"/>
      </rPr>
      <t>(±C-IX)</t>
    </r>
  </si>
  <si>
    <t>Vissza a kieg. mell.,elemzésekhez</t>
  </si>
  <si>
    <t>adatok E Ft-ban</t>
  </si>
  <si>
    <t>Összesen:</t>
  </si>
  <si>
    <t>Készletek</t>
  </si>
  <si>
    <t>Követelések</t>
  </si>
  <si>
    <t>Pénzeszközök</t>
  </si>
  <si>
    <t>Tőketartalék</t>
  </si>
  <si>
    <t>Céltartalékok</t>
  </si>
  <si>
    <t>Vevők</t>
  </si>
  <si>
    <t>Szállítók</t>
  </si>
  <si>
    <t>Értékpapírok</t>
  </si>
  <si>
    <t>A tétel megnevezése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</si>
  <si>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</si>
  <si>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</si>
  <si>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</si>
  <si>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</si>
  <si>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</si>
  <si>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Bérköltség</t>
  </si>
  <si>
    <t>Személyi jellegű egyéb kifizetések</t>
  </si>
  <si>
    <t>Bérjárulékok</t>
  </si>
  <si>
    <t xml:space="preserve"> </t>
  </si>
  <si>
    <t>DEVIZÁS ESZKÖZ-FORRÁS ÉRTÉKELÉS</t>
  </si>
  <si>
    <t>Pénzügyi műveletek eredménye</t>
  </si>
  <si>
    <t>CHF</t>
  </si>
  <si>
    <t>EUR</t>
  </si>
  <si>
    <t>GBP</t>
  </si>
  <si>
    <t>USD</t>
  </si>
  <si>
    <t>Fordulónapi árfolyamok:</t>
  </si>
  <si>
    <t>HUF / DEVIZA</t>
  </si>
  <si>
    <t>Adatok Ft-ban</t>
  </si>
  <si>
    <t>Főkönyvi szám</t>
  </si>
  <si>
    <t>Tétel megnevezése</t>
  </si>
  <si>
    <t>Tételazonosító</t>
  </si>
  <si>
    <t>Devizanem</t>
  </si>
  <si>
    <t>Könyv szerinti érték</t>
  </si>
  <si>
    <t>Mérlegfordulónapi érték</t>
  </si>
  <si>
    <t xml:space="preserve">Árfolyam különbözet </t>
  </si>
  <si>
    <t>Devizaösszeg</t>
  </si>
  <si>
    <t>Forint</t>
  </si>
  <si>
    <t>Árfolyam
Ft / …</t>
  </si>
  <si>
    <t>Nyereség</t>
  </si>
  <si>
    <t>Veszteség</t>
  </si>
  <si>
    <t>Valutanem</t>
  </si>
  <si>
    <t>Mérleg fordulónapi érték</t>
  </si>
  <si>
    <t>Valutaösszeg</t>
  </si>
  <si>
    <t>Lejárt követelések</t>
  </si>
  <si>
    <t>Összeg (E Ft-ban)</t>
  </si>
  <si>
    <t>Megoszlás %-a</t>
  </si>
  <si>
    <t>30 napon belül</t>
  </si>
  <si>
    <t>31-90 nap között</t>
  </si>
  <si>
    <t>91-180 nap között</t>
  </si>
  <si>
    <t>181-360 nap között</t>
  </si>
  <si>
    <t>360 napon túli</t>
  </si>
  <si>
    <t>Követelések összesen</t>
  </si>
  <si>
    <t>Bármely nyelv</t>
  </si>
  <si>
    <t>A. Befektetett eszközök (2.+10.+18 sor)</t>
  </si>
  <si>
    <t>A. Fixed assets (2.+10.+18.)</t>
  </si>
  <si>
    <t>A. Anlagevermögen  (Z. 2.+10.+18.)</t>
  </si>
  <si>
    <t>I. IMMATERIÁLIS JAVAK (3.-9. sorok)</t>
  </si>
  <si>
    <t xml:space="preserve">  I. INTANGIBLE ASSETS (3.-9.)</t>
  </si>
  <si>
    <t xml:space="preserve">  I. IMMATERIELLE VERMÖGENSGEGENSTÄNDE (Z. 3.-9.)</t>
  </si>
  <si>
    <t xml:space="preserve">   Capitalised value of formation/reorganisation expenses </t>
  </si>
  <si>
    <t xml:space="preserve">    Gründungs- und Umstrukturierungskosten </t>
  </si>
  <si>
    <t>2. Kísérleti fejlesztés aktivált értéke</t>
  </si>
  <si>
    <t xml:space="preserve">   Capitalised value of research and development</t>
  </si>
  <si>
    <t xml:space="preserve">    Forschungs- und Entwicklungskosten </t>
  </si>
  <si>
    <t xml:space="preserve">    Concessions, licenses and similar rights </t>
  </si>
  <si>
    <t xml:space="preserve">    Verkehrsfähige Rechte </t>
  </si>
  <si>
    <t xml:space="preserve">    Trade-marks, patents and similar assets</t>
  </si>
  <si>
    <t xml:space="preserve">    Geistiges Eigentum </t>
  </si>
  <si>
    <t xml:space="preserve">    Goodwill </t>
  </si>
  <si>
    <t xml:space="preserve">    Geschäfts- oder Firmenwert </t>
  </si>
  <si>
    <t xml:space="preserve">    Advances and prepayments on intangible assets </t>
  </si>
  <si>
    <t xml:space="preserve">    Geleistete Anzahlungen für immaterielle Vermögensgegenstände </t>
  </si>
  <si>
    <t xml:space="preserve">    Adjusted value of intangible assets </t>
  </si>
  <si>
    <t xml:space="preserve">    Wertberichtigung der immateriellen Vermögesgegenstände </t>
  </si>
  <si>
    <t>II. TÁRGYI ESZKÖZÖK (11.-17. sorok)</t>
  </si>
  <si>
    <t xml:space="preserve">  II. TANGIBLE ASSETS  (11.-17.)</t>
  </si>
  <si>
    <t xml:space="preserve">  II. SACHANLAGEN  (Z. 11.-17. )</t>
  </si>
  <si>
    <t xml:space="preserve">    Land and buildings and rights to immovables </t>
  </si>
  <si>
    <t xml:space="preserve">    Grundstücke und Gebäude sowie die damit verbundenen verkehrsfähigen Rechte </t>
  </si>
  <si>
    <t xml:space="preserve">    Plant and machinery, vehicles </t>
  </si>
  <si>
    <t xml:space="preserve">    Technische Anlagen, Maschinen und Fahrzeuge </t>
  </si>
  <si>
    <t xml:space="preserve">    Other equipment, fixture and fittings, vehicles </t>
  </si>
  <si>
    <t xml:space="preserve">    Sonstige Einrichtungen, Ausrüstungen und Fahrzeuge</t>
  </si>
  <si>
    <t xml:space="preserve">    Breeding stock </t>
  </si>
  <si>
    <t xml:space="preserve">    Zuchttiere </t>
  </si>
  <si>
    <t>5. Beruházások, felújítások</t>
  </si>
  <si>
    <t xml:space="preserve">    Assets in course of construction </t>
  </si>
  <si>
    <t xml:space="preserve">    Anlagen im Bau und Erneuerungen </t>
  </si>
  <si>
    <t>6. Beruházásokra adott előlegek</t>
  </si>
  <si>
    <t xml:space="preserve">     Prepayment on assets in course of construction </t>
  </si>
  <si>
    <t xml:space="preserve">    Geleistete Anzahlungen für Investitionen </t>
  </si>
  <si>
    <t xml:space="preserve">    Adjusted value of tangible assets </t>
  </si>
  <si>
    <t xml:space="preserve">    Wertberichtigung der Sachanlagen </t>
  </si>
  <si>
    <t>III. BEFEKTETETT PÉNZÜGYI ESZKÖZÖK (19.-28. sorok)</t>
  </si>
  <si>
    <t xml:space="preserve">  III. FINANCIAL INVESTMENTS (19.-28.)</t>
  </si>
  <si>
    <t xml:space="preserve">  III. FINANZANLAGEN  (Z. 19.-28.)</t>
  </si>
  <si>
    <t xml:space="preserve">    Long-term participations in affiliated undertakings </t>
  </si>
  <si>
    <t xml:space="preserve">    Dauerhafte Beteiligungen an verbundenen Unternehmen </t>
  </si>
  <si>
    <t xml:space="preserve">    Long-term credit to affiliated undertakings</t>
  </si>
  <si>
    <t xml:space="preserve">    Dauerhaft erteilte Ausleihungen an verbundene Unternehmen </t>
  </si>
  <si>
    <t xml:space="preserve">    Other long-term participations </t>
  </si>
  <si>
    <t xml:space="preserve">    Sonstige dauerhafte Beteiligungen </t>
  </si>
  <si>
    <t>6. Tartósan adott kölcsön egyéb részesedési viszonyban álló vállalkozásban</t>
  </si>
  <si>
    <t xml:space="preserve">     Long-term loan to independent undertakings  </t>
  </si>
  <si>
    <t xml:space="preserve">    Dauerhaft erteilte Ausleihungen an Unternehmen, mit denen ein sonstiges Beteiligungsverhältnis besteht </t>
  </si>
  <si>
    <t xml:space="preserve">    Other long-term loans </t>
  </si>
  <si>
    <t xml:space="preserve">    Sonstige dauerhaft erteilte Ausleihungen </t>
  </si>
  <si>
    <t xml:space="preserve">    Securities signifying a long-term creditor relationship </t>
  </si>
  <si>
    <t xml:space="preserve">    Wertpapiere des Anlagevermögens </t>
  </si>
  <si>
    <t>9. Befektetett pénzügyi eszközök értékhelyesbítése</t>
  </si>
  <si>
    <t xml:space="preserve">    Adjusted value of financial investments </t>
  </si>
  <si>
    <t xml:space="preserve">    Wertberichtigung der Finanzanlagen </t>
  </si>
  <si>
    <t>10. Befektetett pénzügyi eszközök értékelési különbözete</t>
  </si>
  <si>
    <t xml:space="preserve">    Evaluation difference of financial assets</t>
  </si>
  <si>
    <t xml:space="preserve">    Bewertungsdifferenz der Finanzanlagen</t>
  </si>
  <si>
    <t>B. Forgóeszközök (30.+37.+46.+53)</t>
  </si>
  <si>
    <t>B. Current Assets  (30.+37.+46.+53.)</t>
  </si>
  <si>
    <t>B. Umlaufvermögen  (Z. 30.+37.+46.+53.)</t>
  </si>
  <si>
    <t>I. KÉSZLETEK (31-36. sorok)</t>
  </si>
  <si>
    <t xml:space="preserve">  I. INVENTORIES (31.-36.)</t>
  </si>
  <si>
    <t xml:space="preserve">  I. VORRÄTE  (Z. 31.-36.)</t>
  </si>
  <si>
    <t xml:space="preserve">    Raw materials and consumables</t>
  </si>
  <si>
    <t xml:space="preserve">    Roh-, Hilfs- und Betriebsstoffe </t>
  </si>
  <si>
    <t xml:space="preserve">    Work in progress, intermediate and semi-finished products </t>
  </si>
  <si>
    <t xml:space="preserve">    Unvollendete Produktion und halbfertige Erzeugnisse </t>
  </si>
  <si>
    <t>3. Növendék-, hízó- és egyéb állatok</t>
  </si>
  <si>
    <t xml:space="preserve">    Animals for breeding and fattening and other livestock </t>
  </si>
  <si>
    <t xml:space="preserve">    Jung-, Mast- und sonstige Tiere </t>
  </si>
  <si>
    <t xml:space="preserve">    Finished products </t>
  </si>
  <si>
    <t xml:space="preserve">    Fertige Erzeugnisse </t>
  </si>
  <si>
    <t xml:space="preserve">    Goods </t>
  </si>
  <si>
    <t xml:space="preserve">    Waren </t>
  </si>
  <si>
    <t xml:space="preserve">    Prepayments on inventories</t>
  </si>
  <si>
    <t xml:space="preserve">    Geleistete Anzahlungen auf Vorräte </t>
  </si>
  <si>
    <t>II. KÖVETELÉSEK (38.-45.sorok)</t>
  </si>
  <si>
    <t xml:space="preserve">  II. RECEIVABLES (38.-45.)</t>
  </si>
  <si>
    <t xml:space="preserve">  II. FORDERUNGEN  (Z. 38.-45.)</t>
  </si>
  <si>
    <t>1. Követelések áruszállításból és szolgáltatásból (vevők)</t>
  </si>
  <si>
    <t xml:space="preserve">    Accounts receivables </t>
  </si>
  <si>
    <t xml:space="preserve">    Forderungen aus Lieferungen und Leistungen (Käufer) </t>
  </si>
  <si>
    <t xml:space="preserve">    Receivables from affiliated undertakings </t>
  </si>
  <si>
    <t xml:space="preserve">    Forderungen gegen verbundene Unternehmen </t>
  </si>
  <si>
    <t>3. Követelések jelentős tulajdoni részesedési viszonyban lévő vállalkozással szemben</t>
  </si>
  <si>
    <t xml:space="preserve">    Receivables from independent undertakings </t>
  </si>
  <si>
    <t xml:space="preserve">    Forderungen gegen Unternehmen, mit denen ein sonstiges Beteiligungsverhaltnis besteht </t>
  </si>
  <si>
    <t xml:space="preserve">    Bills receivable </t>
  </si>
  <si>
    <t xml:space="preserve">    Wechselforderungen </t>
  </si>
  <si>
    <t xml:space="preserve">    Other receivables </t>
  </si>
  <si>
    <t xml:space="preserve">    Sonstige Forderungen </t>
  </si>
  <si>
    <t xml:space="preserve">    Evaluation difference of debtors</t>
  </si>
  <si>
    <t xml:space="preserve">    Bewertungsdifferenz der Forderungen</t>
  </si>
  <si>
    <t xml:space="preserve">    Positive evaluation dirrerence of derivatives</t>
  </si>
  <si>
    <t xml:space="preserve">    Positive Bewertungsdifferenz der derivative Finanzinsturmente</t>
  </si>
  <si>
    <t>III. ÉRTÉKPAPÍROK (47.-52. sorok)</t>
  </si>
  <si>
    <t xml:space="preserve">  III. SECURITIES (47.-52.)</t>
  </si>
  <si>
    <t xml:space="preserve">  III. WERTPAPIERE  (Z. 47.-52.)</t>
  </si>
  <si>
    <t xml:space="preserve">    Participations in affiliated undertakings </t>
  </si>
  <si>
    <t xml:space="preserve">    Beteiligungen an verbundenen Unternehmen </t>
  </si>
  <si>
    <t>2. Jelentős tulajdoni részesedés</t>
  </si>
  <si>
    <t>3. Egyéb részesedés</t>
  </si>
  <si>
    <t xml:space="preserve">    Other participations </t>
  </si>
  <si>
    <t xml:space="preserve">    Sonstige Beteiligungen </t>
  </si>
  <si>
    <t>4. Saját részvények, saját üzletrészek</t>
  </si>
  <si>
    <t xml:space="preserve">    Own shares and own partnership shares </t>
  </si>
  <si>
    <t xml:space="preserve">    Eigene Aktien und Anteile </t>
  </si>
  <si>
    <t>5. Forgatási célú hitelviszonyt megtestesítő értékpapírok</t>
  </si>
  <si>
    <t xml:space="preserve">    Securities signifying a creditor relationship for trading purposes </t>
  </si>
  <si>
    <t xml:space="preserve">    Wertpapiere des Umlaufvermögens </t>
  </si>
  <si>
    <t>6. Értékpapírok értékelési különbözete</t>
  </si>
  <si>
    <t xml:space="preserve">    Evaluation difference of investments</t>
  </si>
  <si>
    <t xml:space="preserve">    Bewertungsdifferenz der Wertpapiere</t>
  </si>
  <si>
    <t>IV. PÉNZESZKÖZÖK (54.-55.sorok)</t>
  </si>
  <si>
    <t xml:space="preserve">  IV. LIQUID ASSETS  (50.-51.)</t>
  </si>
  <si>
    <t xml:space="preserve">  IV. FLÜSSIGE MITTEL  (Z. 50.-51.)</t>
  </si>
  <si>
    <t xml:space="preserve">    Cash, checks </t>
  </si>
  <si>
    <t xml:space="preserve">    Kassenbestand, Schecks </t>
  </si>
  <si>
    <t xml:space="preserve">    Bank deposits </t>
  </si>
  <si>
    <t xml:space="preserve">    Bankguthaben </t>
  </si>
  <si>
    <t>C. Aktív időbeli elhatárolások (57.-59.sorok)</t>
  </si>
  <si>
    <t>C. Accrued and deferred assets (57-59.)</t>
  </si>
  <si>
    <t xml:space="preserve">C. Aktive Rechnungsabgrenzungsposten  </t>
  </si>
  <si>
    <t xml:space="preserve">    Accrued income </t>
  </si>
  <si>
    <t xml:space="preserve">    Aktive Rechnungsabgrenzungsposten der Erlöse und Erträge </t>
  </si>
  <si>
    <t xml:space="preserve">    Accrued expenses </t>
  </si>
  <si>
    <t xml:space="preserve">    Aktive Rechnungsabgrenzungsposten der Kosten und Aufwendungen </t>
  </si>
  <si>
    <t>3. Halasztott ráfordítások</t>
  </si>
  <si>
    <t xml:space="preserve">    Deferred expenses </t>
  </si>
  <si>
    <t xml:space="preserve">    Verschobene Aufwndungen  </t>
  </si>
  <si>
    <t>ESZKÖZÖK összesen  (1.+29.+56)</t>
  </si>
  <si>
    <t>TOTAL ASSETS  (1.+29.+56.)</t>
  </si>
  <si>
    <t>MITTEL (AKTIVAS) INSGESAMT (Z. 01.+29.+56.)</t>
  </si>
  <si>
    <t>D. Saját tőke  (62.+64.+65.+66.+67+68+71.)</t>
  </si>
  <si>
    <t>D. Owners' Equity (62.+64.+65.+66.+67.+68.+71.)</t>
  </si>
  <si>
    <t>D. Eigenkapital  (Z. 62.+64.+65.+66.+67.+68.+71.)</t>
  </si>
  <si>
    <t>I. JEGYZETT TŐKE</t>
  </si>
  <si>
    <t xml:space="preserve">  I. SUBSCRIBED CAPITAL </t>
  </si>
  <si>
    <t xml:space="preserve">  I. GEZEICHNETES KAPITAL </t>
  </si>
  <si>
    <t>Ebből: visszavásárolt tulajdoni részesedés névértéken</t>
  </si>
  <si>
    <t xml:space="preserve">  I/a of which: ownership shares repurchased at face value </t>
  </si>
  <si>
    <t xml:space="preserve">  aus der Zeile 62.: zurückgekaufter Eigentumsanteil zum Nennwert </t>
  </si>
  <si>
    <t>II. JEGYZETT DE MÉG BE NEM FIZETETT TŐKE (-)</t>
  </si>
  <si>
    <t xml:space="preserve">  II. SUBSCRIBED CAPITAL UNPAID (-)</t>
  </si>
  <si>
    <t xml:space="preserve">  II. GEZEICHNETES, ABER NOCH NICHT EINGEZAHLTES KAPITAL (-) </t>
  </si>
  <si>
    <t>III. TŐKETARTALÉK</t>
  </si>
  <si>
    <t xml:space="preserve">  III. CAPITAL RESERVE </t>
  </si>
  <si>
    <t xml:space="preserve">  III. KAPITALRÜCKLAGE </t>
  </si>
  <si>
    <t>IV. EREDMÉNYTARTALÉK</t>
  </si>
  <si>
    <t xml:space="preserve">  IV. ACCUMULATED PROFIT RESERVE </t>
  </si>
  <si>
    <t xml:space="preserve">  IV. GEWINNRÜCKLAGE </t>
  </si>
  <si>
    <t>V. LEKÖTÖTT TARTALÉK</t>
  </si>
  <si>
    <t xml:space="preserve">  V.  TIED-UP RESERVE</t>
  </si>
  <si>
    <t xml:space="preserve">  V.  GEBUNDENE RÜCKLAGEN </t>
  </si>
  <si>
    <t>VI. ÉRTÉKELÉSI TARTALÉK</t>
  </si>
  <si>
    <t xml:space="preserve">  VI. REVALUATION RESERVE (65.-66.)</t>
  </si>
  <si>
    <t xml:space="preserve">  VI. BEWERTUNGSRÜCKLAGE </t>
  </si>
  <si>
    <t>1. Értékhelyesbítés értékelési tartaléka</t>
  </si>
  <si>
    <t xml:space="preserve">       Revaluation reserve</t>
  </si>
  <si>
    <t xml:space="preserve">       Wertberichtungsrücklage</t>
  </si>
  <si>
    <t>2. Valós értékelés értékelési tartaléka</t>
  </si>
  <si>
    <t xml:space="preserve">       Fair value reserve</t>
  </si>
  <si>
    <t xml:space="preserve">       Zeitwert-Rücklage</t>
  </si>
  <si>
    <t>VII. ADÓZOTT EREDMÉNY</t>
  </si>
  <si>
    <t xml:space="preserve">  VII. PROFIT AFTER TAXES</t>
  </si>
  <si>
    <t xml:space="preserve">  VII. BILANZERGEBNIS </t>
  </si>
  <si>
    <t>E. Céltartalékok  (73-75)</t>
  </si>
  <si>
    <t>E. Provisions (73.-75.)</t>
  </si>
  <si>
    <t>E. Rüxkstellungen  (Z. 73.-75.)</t>
  </si>
  <si>
    <t xml:space="preserve">    Provisions for forward liabilities </t>
  </si>
  <si>
    <t xml:space="preserve">    Rückstellungen für ungewisse Verbindlichkeiten </t>
  </si>
  <si>
    <t xml:space="preserve">    Provisions for forward expenses </t>
  </si>
  <si>
    <t xml:space="preserve">    Rückstellungen für zukünftige Konsten </t>
  </si>
  <si>
    <t xml:space="preserve">    Other provisions </t>
  </si>
  <si>
    <t xml:space="preserve">    Sonstige Rückstellungen </t>
  </si>
  <si>
    <t>F. Kötelezettségek  (77.+ 82.+ 92. sor)</t>
  </si>
  <si>
    <t>F. Liabilities  (77.+82.+92.)</t>
  </si>
  <si>
    <t>F. Verbindlichkeiten  (Z. 77.+82.+92.)</t>
  </si>
  <si>
    <t>I. HÁTRASOROLT KÖTELEZETTSÉGEK (78.-81. sorok)</t>
  </si>
  <si>
    <t xml:space="preserve"> I. SUBORDINATED LIABILITIES  (78.-81.)  </t>
  </si>
  <si>
    <t xml:space="preserve"> I. NACHRANGIGE VERBINDLICHKEITEN  (78.-81. sor)  </t>
  </si>
  <si>
    <t>1. Hátrasorolt kötelezettségek kapcsolt vállalkozással szemben</t>
  </si>
  <si>
    <t xml:space="preserve">    Subordinated liabilities to affiliated undertakings </t>
  </si>
  <si>
    <t xml:space="preserve">    Nachrangige Verbindlichkeiten gegen verbundene Unternehmen </t>
  </si>
  <si>
    <t>2. Hátrasorolt kötelezettségek jelentős tulajdoni viszonyban lévő vállalkozással szemben</t>
  </si>
  <si>
    <t>3. Hátrasorolt kötelezettségek egyéb részesedési viszonyban lévő vállalkozással szemben</t>
  </si>
  <si>
    <t xml:space="preserve">    Subordinated liabilities to independent undertakings </t>
  </si>
  <si>
    <t xml:space="preserve">    Nachrangige Verbindlichkeiten gegen Unternehmen in einem sonstigen Beteiligungsverhältnis </t>
  </si>
  <si>
    <t>4. Hátrasorolt kötelezettségek egyéb gazdálkodóval szemben</t>
  </si>
  <si>
    <t xml:space="preserve">    Subordinated liabilities to other economic entities </t>
  </si>
  <si>
    <t xml:space="preserve">    Nachrangige Verbindlichkeiten gegen sonstige Wirtschaftsfürer </t>
  </si>
  <si>
    <t>II. HOSSZÚ LEJÁRATÚ KÖTELEZETTSÉGEK  (83.-91. sorok)</t>
  </si>
  <si>
    <t xml:space="preserve">  II. LONG-TERM LIABILITIES  (83.-91. )</t>
  </si>
  <si>
    <t xml:space="preserve">  II. LANGFRISTIGE VERBINDLICHKEITEN  (Z. 83.-91.)</t>
  </si>
  <si>
    <t xml:space="preserve">    Long-term loans </t>
  </si>
  <si>
    <t xml:space="preserve">    Erhaltene, langfristige Darlehen </t>
  </si>
  <si>
    <t>2. Átváltoztatható és átváltozó kötvények</t>
  </si>
  <si>
    <t xml:space="preserve">    Convertible bonds </t>
  </si>
  <si>
    <t xml:space="preserve">    Wandelschuldverschreibungen </t>
  </si>
  <si>
    <t xml:space="preserve">    Debts on issue of bonds </t>
  </si>
  <si>
    <t xml:space="preserve">    Verbindlichkeiten aus Anleihen </t>
  </si>
  <si>
    <t>4. Beruházási és fejlesztési hitelek</t>
  </si>
  <si>
    <t xml:space="preserve">    Investment and development credits </t>
  </si>
  <si>
    <t xml:space="preserve">    Investitions- und Entwicklungskredite </t>
  </si>
  <si>
    <t>5. Egyéb hosszú lejáratú hitelek</t>
  </si>
  <si>
    <t xml:space="preserve">    Other long-term credits </t>
  </si>
  <si>
    <t xml:space="preserve">    Sonstige langfristige Kredite </t>
  </si>
  <si>
    <t>6. Tartós kötelezettségek kapcsolt vállalkozással szemben</t>
  </si>
  <si>
    <t xml:space="preserve">    Long-term liabilities to affiliated undertakings  </t>
  </si>
  <si>
    <t xml:space="preserve">    Dauerhafte Verbindlichkeiten gegen verbundene Unternehmen  </t>
  </si>
  <si>
    <t>8. Tartós kötelezettségek egyéb részesedési viszonyban lévő vállalkozással szemben</t>
  </si>
  <si>
    <t xml:space="preserve">    Long-term liabilities to independent undertakings </t>
  </si>
  <si>
    <t xml:space="preserve">    Dauerhafte Verbindlichkeiten gegen Unternehmen in einem sonstigen Beteiligungsverhältnis </t>
  </si>
  <si>
    <t xml:space="preserve">    Other long-term liabilities </t>
  </si>
  <si>
    <t xml:space="preserve">    Sonstige langfristige Verbindlichkeiten </t>
  </si>
  <si>
    <t>III. RÖVID LEJÁRATÚ KÖTELEZETTSÉGEK (93.-104. sorok)</t>
  </si>
  <si>
    <t xml:space="preserve"> III. CURRENT LIABILITIES (93. and 95.-104.)</t>
  </si>
  <si>
    <t xml:space="preserve"> III. KURZFRISTIGE VERBINDLICHKEITEN  (93. und 95.-104.)</t>
  </si>
  <si>
    <t xml:space="preserve">    Short-term bank loans </t>
  </si>
  <si>
    <t xml:space="preserve">    Kurzfrisige Darlehen </t>
  </si>
  <si>
    <t xml:space="preserve">     - of which: convertible bonds </t>
  </si>
  <si>
    <t xml:space="preserve">     - aus der Zeile 93.: Wandelschuldvercshreibungen </t>
  </si>
  <si>
    <t xml:space="preserve">    Other short-term loans </t>
  </si>
  <si>
    <t xml:space="preserve">    Kurzfristige Kredite </t>
  </si>
  <si>
    <t>3. Vevőktől kapott előlegek</t>
  </si>
  <si>
    <t xml:space="preserve">    Advances received from customers </t>
  </si>
  <si>
    <t xml:space="preserve">    Erhaltene Anzahlungen auf Bestellungen </t>
  </si>
  <si>
    <t>4. Kötelezettségek áruszállításból és szolgáltatásból (szállítók)</t>
  </si>
  <si>
    <t xml:space="preserve">    Accounts payable </t>
  </si>
  <si>
    <t xml:space="preserve">    Verbindlichkeiten aus Lieferungen und Leistungen (Leiferanten) </t>
  </si>
  <si>
    <t>5. Váltótartozások</t>
  </si>
  <si>
    <t xml:space="preserve">    Bills payable </t>
  </si>
  <si>
    <t xml:space="preserve">    Wechselverbindlichkeiten </t>
  </si>
  <si>
    <t>6. Rövid lejáratú kötelezettségek kapcsolt vállalkozással szemben</t>
  </si>
  <si>
    <t xml:space="preserve">    Short-term liabilities to affiliated undertakings </t>
  </si>
  <si>
    <t xml:space="preserve">    Kurzfristige Verbindlichkeiten gegen verbundene Unternehmen </t>
  </si>
  <si>
    <t>7. Rövid lejáratú kötelezettségek jelentős tulajdoni viszonyban lévő vállalkozásokkal szemben</t>
  </si>
  <si>
    <t xml:space="preserve">    Short-term liabilities towards companies with significant ownership</t>
  </si>
  <si>
    <t xml:space="preserve">    Kurzfristige Verbindlichkeiten gegen Unternehmen in einem sonstigen Beteiligungsverhältnis </t>
  </si>
  <si>
    <t>8. Rövid lejáratú kötelezettségek egyéb részesedési viszonyban lévő vállalkozással szemben</t>
  </si>
  <si>
    <t xml:space="preserve">    Short-term liabilities to independent undertakings </t>
  </si>
  <si>
    <t>9. Egyéb rövid lejáratú kötelezettségek</t>
  </si>
  <si>
    <t xml:space="preserve">    Other short-term liabilities </t>
  </si>
  <si>
    <t xml:space="preserve">    Sonstige kurzfristige Verbindlichkeiten </t>
  </si>
  <si>
    <t xml:space="preserve">    Evaluation difference of liabilities</t>
  </si>
  <si>
    <t xml:space="preserve">    Bewertungsdifferenz der Verblindlichkeiten</t>
  </si>
  <si>
    <t xml:space="preserve">    Negative evaluation difference of derivatives</t>
  </si>
  <si>
    <t xml:space="preserve">    Negative Bewertungsdifferenz der derivative Finanzinstrumente</t>
  </si>
  <si>
    <t>G. Passzív időbeli elhatárolások  (106.-108. sorok)</t>
  </si>
  <si>
    <t>G. Accrued and deferred liabilities (106.-108. )</t>
  </si>
  <si>
    <t>G. Passive Rechnungsabgrenzungsposten (Z. 106.-108.)</t>
  </si>
  <si>
    <t>1. Bevételek passzív időbeli elhatárolása</t>
  </si>
  <si>
    <t xml:space="preserve">    Deferred income </t>
  </si>
  <si>
    <t xml:space="preserve">    Passive Rechnungsabgrenzungsposten der Erlöse und Erträge </t>
  </si>
  <si>
    <t>2. Költségek, ráfordítások passzív időbeli elhatárolása</t>
  </si>
  <si>
    <t xml:space="preserve">    Passive Rechnungsabgrenzungsposten der Kosten und Aufwendungen</t>
  </si>
  <si>
    <t>3. Halasztott bevételek</t>
  </si>
  <si>
    <t xml:space="preserve">    Verschobene Erlöse und Erträge </t>
  </si>
  <si>
    <t>Források összesen  (61.+72.+76.+105. sor)</t>
  </si>
  <si>
    <t>TOTAL OWNERS' EQUITY AND LIABILITIES (61.+72.+76.+105.)</t>
  </si>
  <si>
    <t>QUELLEN (PASSIVA) INSGESAMT (Z.61.+72.+76.+105.)</t>
  </si>
  <si>
    <t>Összköltséges teljes</t>
  </si>
  <si>
    <t>01. Belföldi értékesítés nettó árbevétele</t>
  </si>
  <si>
    <t xml:space="preserve">   01. Net domestic sales </t>
  </si>
  <si>
    <t xml:space="preserve">   01. Nettoumsatzerlöse, Inland</t>
  </si>
  <si>
    <t>02. Exportértékesítés nettó árbevétele</t>
  </si>
  <si>
    <t xml:space="preserve">   02. Net external sales </t>
  </si>
  <si>
    <t xml:space="preserve">   02. Nettoumsatzerlöse, Ausland </t>
  </si>
  <si>
    <t>I. ÉRTÉKESÍTÉS NETTÓ ÁRBEVÉTELE (01+02)</t>
  </si>
  <si>
    <t>I.  TOTAL SALES (REVENUES) (1+2)</t>
  </si>
  <si>
    <t>I.   NETTOUMSATZERLÖSE (1+2)</t>
  </si>
  <si>
    <t>03. Saját termelésű készletek állományváltozása</t>
  </si>
  <si>
    <t xml:space="preserve">   03. Variations in self-manufactured stoks </t>
  </si>
  <si>
    <t xml:space="preserve">   03. Bestandsänderung der Vorräte aus eigener Produktion </t>
  </si>
  <si>
    <t>04. Saját előállítású eszközök aktivált értéke</t>
  </si>
  <si>
    <t xml:space="preserve">   04. Own work capitalised </t>
  </si>
  <si>
    <t xml:space="preserve">   04. Aktivierter Wert der selbst hergestellten Vermögensgegenstände </t>
  </si>
  <si>
    <t>II. AKTIVÁLT SAJÁT TELJESÍTMÉNYEK ÉRTÉKE (03+04)</t>
  </si>
  <si>
    <t>II.  OWN PERFORMANCE CAPITALISED (3±4)</t>
  </si>
  <si>
    <t>II.  AKTIVIERTE EIGENLEISTUNGEN  (3±4)</t>
  </si>
  <si>
    <t xml:space="preserve">III. OTHER INCOME </t>
  </si>
  <si>
    <t xml:space="preserve">III. SONSTIGE ERTRÄGE </t>
  </si>
  <si>
    <t>Ebből: visszaírt értékvesztés</t>
  </si>
  <si>
    <t xml:space="preserve">  including: loss in value marked back</t>
  </si>
  <si>
    <t xml:space="preserve">  aus der Zeile III.: zurückgeschriebene Wertverluste </t>
  </si>
  <si>
    <t>05. Anyagköltség</t>
  </si>
  <si>
    <t xml:space="preserve">   05. Raw materials and consumables </t>
  </si>
  <si>
    <t xml:space="preserve">   05. Aufwendungen für Roh-, Hilfs- und Betriebsstoffe</t>
  </si>
  <si>
    <t>06. Igénybe vett szolgáltatások értéke</t>
  </si>
  <si>
    <t xml:space="preserve">   06. Contracted services </t>
  </si>
  <si>
    <t xml:space="preserve">   06. Aufwendungen für bezogene Leistungen </t>
  </si>
  <si>
    <t>07. Egyéb szolgáltatások értéke</t>
  </si>
  <si>
    <t xml:space="preserve">   07. Other service activities </t>
  </si>
  <si>
    <t xml:space="preserve">   07. Aufwendungen für sonstige Leistungen </t>
  </si>
  <si>
    <t>08. Eladott áruk beszerzési értéke</t>
  </si>
  <si>
    <t xml:space="preserve">   08. Original cost of goods sold </t>
  </si>
  <si>
    <t xml:space="preserve">   08. Aufwendungen für bezogene Waren </t>
  </si>
  <si>
    <t>09. Eladott (közvetített) szolgáltatások értéke</t>
  </si>
  <si>
    <t xml:space="preserve">   09. Value of services sold (intermediated)</t>
  </si>
  <si>
    <t xml:space="preserve">   09. Aufwendungen für verkaufte (vermittelte) Leistungen </t>
  </si>
  <si>
    <t>IV. ANYAGJELLEGŰ RÁFORDÍTÁSOK  (05+06+07+08+09)</t>
  </si>
  <si>
    <t>IV. MATERIAL COSTS  (5+6+7+8+9)</t>
  </si>
  <si>
    <t>IV.  MATERIALAUFWENDUNGEN  (5+6+7+8+9)</t>
  </si>
  <si>
    <t>10. Bérköltség</t>
  </si>
  <si>
    <t xml:space="preserve">   10. Wages and salaries </t>
  </si>
  <si>
    <t xml:space="preserve">   10. Lohn- und Gehaltskosten </t>
  </si>
  <si>
    <t>11. Személyi jellegű egyéb kifizetések</t>
  </si>
  <si>
    <t xml:space="preserve">   11. Other employee benefits </t>
  </si>
  <si>
    <t xml:space="preserve">   11. Sonstige Personalaufwendungen </t>
  </si>
  <si>
    <t>12. Bérjárulékok</t>
  </si>
  <si>
    <t xml:space="preserve">   12. Contributions on wages and salaries </t>
  </si>
  <si>
    <t xml:space="preserve">   12. Lohnnebenkosten </t>
  </si>
  <si>
    <t>V. SZEMÉLYI JELLEGŰ RÁFORDÍTÁSOK (10+11+12)</t>
  </si>
  <si>
    <t>V.   STAFF COSTS  (10+11+12)</t>
  </si>
  <si>
    <t>V.  PERSONALAUFWAND (10+11+12)</t>
  </si>
  <si>
    <t xml:space="preserve">VI.  DEPRECIATION </t>
  </si>
  <si>
    <t xml:space="preserve">VI. ABSCHREIBUNGEN </t>
  </si>
  <si>
    <t xml:space="preserve">VII. OTHER OPERATING CHARGES </t>
  </si>
  <si>
    <t xml:space="preserve">VII. SONSTIGE AUFWENDUNGEN </t>
  </si>
  <si>
    <t>Ebből: értékvesztés</t>
  </si>
  <si>
    <t xml:space="preserve">  including: loss in value </t>
  </si>
  <si>
    <t xml:space="preserve">  aus der Zeile VII.: Wertverluste </t>
  </si>
  <si>
    <t>A. ÜZEMI (ÜZLETI) TEVÉKENYSÉG EREDMÉNYE  (I+II+III-IV-V-VI-VII)</t>
  </si>
  <si>
    <t>A. INCOME FROM OPERATIONS I±II+III-IV--V-VI-VII)</t>
  </si>
  <si>
    <t>A. BETRIEBSERGEBNIS (GESCHÄFTSERGEBNIS) (I±II+III-IV--V-VI-VII)</t>
  </si>
  <si>
    <t>13. Kapott (járó) osztalék és részesedés</t>
  </si>
  <si>
    <t xml:space="preserve">   13. Dividends and profit-sharing (receive or due) </t>
  </si>
  <si>
    <t xml:space="preserve">   13. Erträge aus (zustehenden) Dividenden und Gewinnanteilen </t>
  </si>
  <si>
    <t>Ebből: kapcsolt vállalkozástól kapott</t>
  </si>
  <si>
    <t xml:space="preserve">  including: from affiliated undertakings </t>
  </si>
  <si>
    <t xml:space="preserve">  aus der Zeile 13.: von verbundenen Unternehmen </t>
  </si>
  <si>
    <t>14. Részesedésekből származó bevételek, árfolyamnyereségek</t>
  </si>
  <si>
    <t xml:space="preserve">   14. </t>
  </si>
  <si>
    <t xml:space="preserve">  including: from affiliated undertakings  </t>
  </si>
  <si>
    <t xml:space="preserve">  aus der Zeile 14.: von verbundenen Unternehmen  </t>
  </si>
  <si>
    <t>15. Befektetett pénzügyi eszközökből (értékpapírokból, kölcsönökből) származó bevételek, árfolyamnyereségek</t>
  </si>
  <si>
    <t xml:space="preserve">   15. </t>
  </si>
  <si>
    <t xml:space="preserve">  aus der Zeile 15.: von verbundenen Unternehmen </t>
  </si>
  <si>
    <t>16. Egyéb kapott (járó) kamatok és kamatjellegű bevételek</t>
  </si>
  <si>
    <t xml:space="preserve">   16. Other interest and similar income (received or due) </t>
  </si>
  <si>
    <t xml:space="preserve">   16. Sonstige (zustehende) Zinsen und ähnliche Erträge </t>
  </si>
  <si>
    <t xml:space="preserve">  aus der Zeile 16.: von verbundenen Unternehmen </t>
  </si>
  <si>
    <t>17. Pénzügyi műveletek egyéb bevételei</t>
  </si>
  <si>
    <t xml:space="preserve">   17. Other income from financial transactions </t>
  </si>
  <si>
    <t xml:space="preserve">   17. Sonstige finanzielle Erträge </t>
  </si>
  <si>
    <t>Ebből: értékelési különbözet</t>
  </si>
  <si>
    <t xml:space="preserve">  including: evaliation difference</t>
  </si>
  <si>
    <t xml:space="preserve">  aus der Zeile 17.: Bewertungsdifferenz</t>
  </si>
  <si>
    <t>VIII. PÉNZÜGYI MÜVELETEK BEVÉTELEI (13+14+15+16+17)</t>
  </si>
  <si>
    <t>VIII. INCOME FROM FINANCIAL TRANSACTIONS (13+14+15+16+17)</t>
  </si>
  <si>
    <t>VIII. FINANZERTRÄGE (13+14+15+16+17)</t>
  </si>
  <si>
    <t>18. Részesedésekből származó ráfordítások, árfolyamveszteségek</t>
  </si>
  <si>
    <t xml:space="preserve">   18.</t>
  </si>
  <si>
    <t xml:space="preserve">   18. </t>
  </si>
  <si>
    <t>Ebből: kapcsolt vállalkozásnak adott</t>
  </si>
  <si>
    <t xml:space="preserve">  including: to affiliated undertakings </t>
  </si>
  <si>
    <t xml:space="preserve">  aus der Zeile 18.: an verbundene Unternehmen </t>
  </si>
  <si>
    <t>19. Befektetett pénzügyi eszközökből (értékpapírokból, kölcsönökből) származó ráfordítások, árfolyamveszteségek</t>
  </si>
  <si>
    <t xml:space="preserve">  19.</t>
  </si>
  <si>
    <t xml:space="preserve">   19. </t>
  </si>
  <si>
    <t xml:space="preserve">  aus der Zeile 19.: an verbundene Unternehmen </t>
  </si>
  <si>
    <t>20. Fizetendő (fizetett) kamatok és kamatjellegű ráfordítások</t>
  </si>
  <si>
    <t xml:space="preserve">   20. Interest payable and similar charges </t>
  </si>
  <si>
    <t xml:space="preserve">   20. Zinsen und ähnliche Aufwendungen </t>
  </si>
  <si>
    <t xml:space="preserve">  aus der Zeile 20.: an verbundene Unternehmen </t>
  </si>
  <si>
    <t>21. Részesedések, értékpapírok, bankbetétek értékvesztése</t>
  </si>
  <si>
    <t xml:space="preserve">   21. Losses on shares, securities and bank deposits </t>
  </si>
  <si>
    <t xml:space="preserve">   21. Wertverluste von Beteiligungen, Wertpapieren und Bankguthaben </t>
  </si>
  <si>
    <t>22. Pénzügyi műveletek egyéb ráfordításai</t>
  </si>
  <si>
    <t xml:space="preserve">   22. Other expenses on financial transactions </t>
  </si>
  <si>
    <t xml:space="preserve">   22. Sonstige finanzielle Aufwendungen </t>
  </si>
  <si>
    <t xml:space="preserve">  aus der Zeile 22.: Bewertungsdifferenz</t>
  </si>
  <si>
    <t>IX. PÉNZÜGYI MŰVELETEK RÁFORDÍTÁSAI  (18+19+20+21+22)</t>
  </si>
  <si>
    <t>IX. EXPENSES ON FINANCIAL TRANSACTIONS (18+19±20+21+22)</t>
  </si>
  <si>
    <t>IX. FINANZAUFWENDUNGEN  (18+19±20+21+22)</t>
  </si>
  <si>
    <t>B. PÉNZÜGYI MŰVELETEK EREDMÉNYE (VIII-IX)</t>
  </si>
  <si>
    <t>B. PROFIT OR LOSS FROM FINANCIAL TRANSACTIONS (VIII-IX)</t>
  </si>
  <si>
    <t>B. FINANZERGEBNIS (VIII.-IX.)</t>
  </si>
  <si>
    <t>C. ADÓZÁS ELŐTTI EREDMÉNY (±A±B)</t>
  </si>
  <si>
    <t>C. INCOME BEFORE TAXES ( ±A±B)</t>
  </si>
  <si>
    <t>E. ERGEBNIS VOR STEUERN ( ±A±B)</t>
  </si>
  <si>
    <t xml:space="preserve">X. Tax payable </t>
  </si>
  <si>
    <t xml:space="preserve">XII. Steuerpflicht </t>
  </si>
  <si>
    <t>D. ADÓZOTT EREDMÉNY (±C-X)</t>
  </si>
  <si>
    <t>d. PROFIT AFTER TAXES   (±C-X)</t>
  </si>
  <si>
    <t>F. VERSTEUERTES ERGEBNIS    (±E-XII)</t>
  </si>
  <si>
    <t>Forgalmi teljes</t>
  </si>
  <si>
    <t>03. Értékesítés elszámolt közvetlen önköltsége</t>
  </si>
  <si>
    <t xml:space="preserve">   03. Direct cost of sales</t>
  </si>
  <si>
    <t xml:space="preserve">   03. Direkte Eigenkosten der Verwertung</t>
  </si>
  <si>
    <t>04. Eladott áruk beszerzési értéke</t>
  </si>
  <si>
    <t xml:space="preserve">   04. Value of sold goods for resale</t>
  </si>
  <si>
    <t xml:space="preserve">   04. Wert der verkauften Waren</t>
  </si>
  <si>
    <t>05. Eladott (közvetített) szolgáltatások értéke</t>
  </si>
  <si>
    <t xml:space="preserve">   05. Value of resold (mediated) services</t>
  </si>
  <si>
    <t xml:space="preserve">   05. Wert der verkauften (vermittlerten) Leistungen</t>
  </si>
  <si>
    <t>II. ÉRTÉKESÍTÉS KÖZVETLEN KÖLTSÉGEI  (03+04+05)</t>
  </si>
  <si>
    <t>II.  Direct charges of sales</t>
  </si>
  <si>
    <t xml:space="preserve">II.  Direkte Kosten der Verwertung </t>
  </si>
  <si>
    <t>III. ÉRTÉKESÍTÉS BRUTTÓ EREDMÉNYE (I-II)</t>
  </si>
  <si>
    <t>III. Gross profit or loss of sales</t>
  </si>
  <si>
    <t xml:space="preserve">III. Brutto Ergebnis von Verwertung </t>
  </si>
  <si>
    <t>06. Értékesítési, forgalmazási költségek</t>
  </si>
  <si>
    <t xml:space="preserve">   06. Distribution costs</t>
  </si>
  <si>
    <t xml:space="preserve">   06. Vertriebskosten</t>
  </si>
  <si>
    <t>07. Igazgatási költségek</t>
  </si>
  <si>
    <t xml:space="preserve">   07. Administrative expenses</t>
  </si>
  <si>
    <t xml:space="preserve">   07. Verwaltungskosten</t>
  </si>
  <si>
    <t>08. Egyéb általános költségek</t>
  </si>
  <si>
    <t xml:space="preserve">   08. Other indirect charges</t>
  </si>
  <si>
    <t xml:space="preserve">   08. Sonstige Gemeinkosten</t>
  </si>
  <si>
    <t>IV. ÉRTÉKESÍTÉS KÖZVETETT KÖLTSÉGEI (06+07+08)</t>
  </si>
  <si>
    <t>IV. Indirect charges of sales</t>
  </si>
  <si>
    <t xml:space="preserve">IV. Indirekte Kosten der Verwertung </t>
  </si>
  <si>
    <t>V. EGYÉB BEVÉTELEK</t>
  </si>
  <si>
    <t xml:space="preserve">V.  OTHER INCOME </t>
  </si>
  <si>
    <t xml:space="preserve">V.  SONSTIGE ERTRÄGE </t>
  </si>
  <si>
    <t xml:space="preserve">  aus der Zeile V.: zurückgeschriebene Wertverluste </t>
  </si>
  <si>
    <t xml:space="preserve">VI. OTHER OPERATING CHARGES </t>
  </si>
  <si>
    <t xml:space="preserve">VI. SONSTIGE AUFWENDUNGEN </t>
  </si>
  <si>
    <t xml:space="preserve">  aus der Zeile VI.: Wertverluste </t>
  </si>
  <si>
    <t>A. ÜZEMI (ÜZLETI) TEVÉKENYSÉG EREDMÉNYE (±III-IV+V-VI)</t>
  </si>
  <si>
    <t>A. INCOME FROM OPERATIONS (±III-IV+V-VI)</t>
  </si>
  <si>
    <t>A. BETRIEBSERGEBNIS (GESCHÄFTSERGEBNIS) (±III-IV+V-VI)</t>
  </si>
  <si>
    <t>09. Kapott (járó) osztalék és részesedés</t>
  </si>
  <si>
    <t xml:space="preserve">   09. Dividends and profit-sharing (receive or due) </t>
  </si>
  <si>
    <t xml:space="preserve">   09. Erträge aus (zustehenden) Dividenden und Gewinnanteilen </t>
  </si>
  <si>
    <t xml:space="preserve">  aus der Zeile 09.: von verbundenen Unternehmen </t>
  </si>
  <si>
    <t>10. Részesedésekből származó bevételek, árfolyamnyereségek</t>
  </si>
  <si>
    <t xml:space="preserve">   10.</t>
  </si>
  <si>
    <t xml:space="preserve">  aus der Zeile 10.: von verbundenen Unternehmen  </t>
  </si>
  <si>
    <t>11. Befektetett pénzügyi eszközökből (értékpapírokból, kölcsönökből) származó bevételek, árfolyamnyereségek</t>
  </si>
  <si>
    <t xml:space="preserve">   11. </t>
  </si>
  <si>
    <t xml:space="preserve">  aus der Zeile 11.: von verbundenen Unternehmen </t>
  </si>
  <si>
    <t>12. Egyéb kapott (járó) kamatok és kamatjellegű bevételek</t>
  </si>
  <si>
    <t xml:space="preserve">   12. Other interest and similar income (received or due) </t>
  </si>
  <si>
    <t xml:space="preserve">   12. Sonstige (zustehende) Zinsen und ähnliche Erträge </t>
  </si>
  <si>
    <t xml:space="preserve">  aus der Zeile 12.: von verbundenen Unternehmen </t>
  </si>
  <si>
    <t>13. Pénzügyi műveletek egyéb bevételei</t>
  </si>
  <si>
    <t xml:space="preserve">   13. Other income from financial transactions </t>
  </si>
  <si>
    <t xml:space="preserve">   13. Sonstige finanzielle Erträge </t>
  </si>
  <si>
    <t xml:space="preserve">  aus der Zeile 13.: Bewertungsdifferenz</t>
  </si>
  <si>
    <t>VII. PÉNZÜGYI MŰVELETEK BEVÉTELEI (9+10+11+12+13)</t>
  </si>
  <si>
    <t>VIII. INCOME FROM FINANCIAL TRANSACTIONS (09+10+11+12+13)</t>
  </si>
  <si>
    <t>VIII. FINANZERTRÄGE (09+10+11+12+13)</t>
  </si>
  <si>
    <t>14. Részesedésekből származó ráfordítások, árfolyamveszteségek</t>
  </si>
  <si>
    <t xml:space="preserve">   14.</t>
  </si>
  <si>
    <t xml:space="preserve">  aus der Zeile 14.: an verbundene Unternehmen </t>
  </si>
  <si>
    <t>15. Befektetett pénzügyi eszközökből (értékpapírokból, kölcsönökből) származó ráfordítások, árfolyamveszteségek</t>
  </si>
  <si>
    <t xml:space="preserve">  aus der Zeile 15.: an verbundene Unternehmen </t>
  </si>
  <si>
    <t>16. Fizetendő (fizetett) kamatok és kamatjellegű ráfordítások</t>
  </si>
  <si>
    <t xml:space="preserve">   16. Other expenses on financial transactions </t>
  </si>
  <si>
    <t xml:space="preserve">   16. Sonstige finanzielle Aufwendungen </t>
  </si>
  <si>
    <t xml:space="preserve">  aus der Zeile 16.: Bewertungsdifferenz</t>
  </si>
  <si>
    <t>17. Részesedések, értékpapírok, bankbetétek értékvesztése</t>
  </si>
  <si>
    <t xml:space="preserve">   20. Losses on shares, securities and bank deposits </t>
  </si>
  <si>
    <t xml:space="preserve">   20. Wertverluste von Beteiligungen, Wertpapieren und Bankguthaben </t>
  </si>
  <si>
    <t>18. Pénzügyi műveletek egyéb ráfordításai</t>
  </si>
  <si>
    <t xml:space="preserve">   21. Other expenses on financial transactions </t>
  </si>
  <si>
    <t xml:space="preserve">   21. Sonstige finanzielle Aufwendungen </t>
  </si>
  <si>
    <t xml:space="preserve">  aus der Zeile 21.: Bewertungsdifferenz</t>
  </si>
  <si>
    <t>VIII. PÉNZÜGYI MŰVELETEK RÁFORDÍTÁSAI (14+15+16+17+18)</t>
  </si>
  <si>
    <t>VIII. EXPENSES ON FINANCIAL TRANSACTIONS (14+15+16+17+18)</t>
  </si>
  <si>
    <t>IX. FINANZAUFWENDUNGEN  (14+15+16+17+18)</t>
  </si>
  <si>
    <t>B. PÉNZÜGYI MŰVELETEK EREDMÉNYE (VII-VIII)</t>
  </si>
  <si>
    <t>B. PROFIT OR LOSS FROM FINANCIAL TRANSACTIONS (VII-VIII)</t>
  </si>
  <si>
    <t>B. FINANZERGEBNIS (VII.-VIII.)</t>
  </si>
  <si>
    <t xml:space="preserve">IX. Tax payable </t>
  </si>
  <si>
    <t>D. ADÓZOTT EREDMÉNY (±C-IX)”</t>
  </si>
  <si>
    <t>D. PROFIT AFTER TAXES   (±C-IX)</t>
  </si>
  <si>
    <t>F. VERSTEUERTES ERGEBNIS    (±C-IX)</t>
  </si>
  <si>
    <t>Választható nyelv</t>
  </si>
  <si>
    <t>Statisztikai számjele</t>
  </si>
  <si>
    <t>Statistical code</t>
  </si>
  <si>
    <t>Statistische Nummer</t>
  </si>
  <si>
    <t xml:space="preserve">megfelelő </t>
  </si>
  <si>
    <t>Court registration number</t>
  </si>
  <si>
    <t>Handelsregister Nummer</t>
  </si>
  <si>
    <t xml:space="preserve">    Alapítás-átszervezés aktívált értéke</t>
  </si>
  <si>
    <t>kifejezései</t>
  </si>
  <si>
    <t>The Company's name</t>
  </si>
  <si>
    <t>Firmenname</t>
  </si>
  <si>
    <t xml:space="preserve">    Kísérleti fejlesztés aktívált értéke</t>
  </si>
  <si>
    <t>Address, phone number</t>
  </si>
  <si>
    <t>Anschrift, Telefon</t>
  </si>
  <si>
    <t xml:space="preserve">    Vagyoni értékű jogok</t>
  </si>
  <si>
    <t>Annual Report</t>
  </si>
  <si>
    <t>Jahresbilanz</t>
  </si>
  <si>
    <t xml:space="preserve">    Szellemi termékek</t>
  </si>
  <si>
    <t xml:space="preserve">    Üzleti vagy cégérték</t>
  </si>
  <si>
    <t>Head of enterprise</t>
  </si>
  <si>
    <t>Geschäftsführer</t>
  </si>
  <si>
    <t xml:space="preserve">    Immateriális javakra adott előlegek</t>
  </si>
  <si>
    <t>authorised signature</t>
  </si>
  <si>
    <t xml:space="preserve">    Immateriális javak értékhelyesbítése</t>
  </si>
  <si>
    <t>Keltezés:</t>
  </si>
  <si>
    <t>Dated:</t>
  </si>
  <si>
    <t>Datum:</t>
  </si>
  <si>
    <t xml:space="preserve">    Ingatlanok és a kapcsolódó vagyoni értékű jogok</t>
  </si>
  <si>
    <t xml:space="preserve">    Műszaki berendezések, gépek, járművek</t>
  </si>
  <si>
    <t xml:space="preserve">    Egyéb berendezések, felszerelések, járművek</t>
  </si>
  <si>
    <t xml:space="preserve">    Tenyészállatok</t>
  </si>
  <si>
    <t>"A" Mérleg</t>
  </si>
  <si>
    <t>BALANCE-SHEET</t>
  </si>
  <si>
    <t>Bilanz</t>
  </si>
  <si>
    <t xml:space="preserve">    Beruházások, felújítások</t>
  </si>
  <si>
    <t>Eszközök(aktívák)</t>
  </si>
  <si>
    <t>Assets</t>
  </si>
  <si>
    <t>Aktivseite</t>
  </si>
  <si>
    <t xml:space="preserve">    Beruházásokra adott előleg</t>
  </si>
  <si>
    <t>figures in thousand HUF</t>
  </si>
  <si>
    <t>Angaben in THUF</t>
  </si>
  <si>
    <t xml:space="preserve">    Tárgyi eszközök értékhelyesbítése</t>
  </si>
  <si>
    <t>Sorszám</t>
  </si>
  <si>
    <t>Serial numb.</t>
  </si>
  <si>
    <t>Nr.</t>
  </si>
  <si>
    <t xml:space="preserve">  III. BEFEKTETETT PÉNZÜGYI ESZKÖZÖK (19.-25. sor)</t>
  </si>
  <si>
    <t xml:space="preserve">  III. FINANCIAL INVESTMENTS (19.-26.)</t>
  </si>
  <si>
    <t xml:space="preserve">  III. FINANZANLAGEN  (Z. 19.-25.)</t>
  </si>
  <si>
    <t>Description of the individual items</t>
  </si>
  <si>
    <t>Bezeichnung des Postens</t>
  </si>
  <si>
    <t xml:space="preserve">    Tartós részesedés kapcsolt vállalkozásban</t>
  </si>
  <si>
    <t>Prior year</t>
  </si>
  <si>
    <t>Vorjahr</t>
  </si>
  <si>
    <t xml:space="preserve">    Tartósan adott kölcsön kapcsolt vállalkozásban</t>
  </si>
  <si>
    <t>Előző év(ek) módosításai</t>
  </si>
  <si>
    <t>Modifications relation to prior year</t>
  </si>
  <si>
    <t>Änderungen im Vorjahr</t>
  </si>
  <si>
    <t xml:space="preserve">    Egyéb tartós részesedés</t>
  </si>
  <si>
    <t>Current year</t>
  </si>
  <si>
    <t>Berichtjahr</t>
  </si>
  <si>
    <t xml:space="preserve">    Tartósan adott kölcsön egyéb részesedési visz. álló váll-ban</t>
  </si>
  <si>
    <t xml:space="preserve">Equity and Liabilities </t>
  </si>
  <si>
    <t>Bilanz Quellen (Passivas)</t>
  </si>
  <si>
    <t xml:space="preserve">    Egyéb tartósan adott kölcsön</t>
  </si>
  <si>
    <t>Eredménykimutatás</t>
  </si>
  <si>
    <t>PROFIT AND LOSS ACCOUNTS</t>
  </si>
  <si>
    <t xml:space="preserve">Gewinn- und Verlustrechnung </t>
  </si>
  <si>
    <t xml:space="preserve">    Tartós hitelviszonyt megtestesítő értékpapír</t>
  </si>
  <si>
    <t>(Összköltség eljárással)</t>
  </si>
  <si>
    <t>Version "A"</t>
  </si>
  <si>
    <t>(nach dem Gesamtkostenverfahren)</t>
  </si>
  <si>
    <t xml:space="preserve">    Befektetett pénzügyi eszközök értékhelyesbítése</t>
  </si>
  <si>
    <t>CASH-FLOW kimutatás</t>
  </si>
  <si>
    <t>Cash-flow statement</t>
  </si>
  <si>
    <t>Kapitalflussrechnung</t>
  </si>
  <si>
    <t xml:space="preserve">    Befektetett pénzügyi eszközök értékelési különbözete</t>
  </si>
  <si>
    <t>" A közzétett adatok könyvvizsgálattal nincsenek alátámasztva. "</t>
  </si>
  <si>
    <t>" The data published have not been reviewed by an auditor. "</t>
  </si>
  <si>
    <t>" Die veröffentlichten Daten sind nicht durch  eine Wirtschaftsprüfung untermauert worden. "</t>
  </si>
  <si>
    <t>B. Forgóeszközök (28.+35.+43.+49. sor)</t>
  </si>
  <si>
    <t>B. Current Assets  (28.+35.+43.+49.)</t>
  </si>
  <si>
    <t>B. Umlaufvermögen  (Z. 28.+35.+43.+49.)</t>
  </si>
  <si>
    <t xml:space="preserve">  I. KÉSZLETEK (29.-34. sorok)</t>
  </si>
  <si>
    <t xml:space="preserve">  I. INVENTORIES (29.-34.)</t>
  </si>
  <si>
    <t xml:space="preserve">  I. VORRÄTE  (Z. 29.-34.)</t>
  </si>
  <si>
    <t xml:space="preserve">    Anyagok</t>
  </si>
  <si>
    <t xml:space="preserve">    Befejezetlen termelés és félkész termékek</t>
  </si>
  <si>
    <t xml:space="preserve">    Növedék-, hízó- és egyéb állatok</t>
  </si>
  <si>
    <t xml:space="preserve">    Késztermékek</t>
  </si>
  <si>
    <t xml:space="preserve">    Áruk</t>
  </si>
  <si>
    <t xml:space="preserve">    Készletekre adott előlegek</t>
  </si>
  <si>
    <t xml:space="preserve">  II. KÖVETELÉSEK (36.-42. sor)</t>
  </si>
  <si>
    <t xml:space="preserve">  II. RECEIVABLES (36.-42.)</t>
  </si>
  <si>
    <t xml:space="preserve">  II. FORDERUNGEN  (Z. 36.-42.)</t>
  </si>
  <si>
    <t xml:space="preserve">    Követelések áruszállításból és szolgáltatásokból (vevők)</t>
  </si>
  <si>
    <t xml:space="preserve">    Követelések kapcsolt vállalkozással szemben</t>
  </si>
  <si>
    <t xml:space="preserve">    Követelések egyéb rész. visz. lévő váll. szemben</t>
  </si>
  <si>
    <t xml:space="preserve">    Váltókövetelések</t>
  </si>
  <si>
    <t xml:space="preserve">    Egyéb követelések</t>
  </si>
  <si>
    <t xml:space="preserve">    Követelések értékelési különbözete</t>
  </si>
  <si>
    <t xml:space="preserve">    Származékos ügyletek pozitív értékelési különbözete</t>
  </si>
  <si>
    <t xml:space="preserve">  III. ÉRTÉKPAPÍROK (44.-48. sorok)</t>
  </si>
  <si>
    <t xml:space="preserve">  III. SECURITIES (44.-48.)</t>
  </si>
  <si>
    <t xml:space="preserve">  III. WERTPAPIERE  (Z. 44.-48.)</t>
  </si>
  <si>
    <t xml:space="preserve">    Részesedés kapcsolt vállalkozásban</t>
  </si>
  <si>
    <t xml:space="preserve">    Egyéb részesedés</t>
  </si>
  <si>
    <t xml:space="preserve">    Saját részvények, saját üzletrészek</t>
  </si>
  <si>
    <t xml:space="preserve">    Forgatási célú hitelviszonyt megtestesítő értékpapírok</t>
  </si>
  <si>
    <t xml:space="preserve">    Értékpapírok értékelési különbözete</t>
  </si>
  <si>
    <t xml:space="preserve">  IV. PÉNZESZKÖZÖK (50.-51. sor)</t>
  </si>
  <si>
    <t xml:space="preserve">    Pénztár, csekkek</t>
  </si>
  <si>
    <t xml:space="preserve">    Bankbetétek</t>
  </si>
  <si>
    <t>C. Aktív időbeli elhatárolások (53.-55.sor)</t>
  </si>
  <si>
    <t>C. Accrued and deferred assets (53-55.)</t>
  </si>
  <si>
    <t xml:space="preserve">    Bevételek aktív időbeli elhatárolása</t>
  </si>
  <si>
    <t xml:space="preserve">    Költségek, ráfordítások aktív időbeli elhatárolása</t>
  </si>
  <si>
    <t xml:space="preserve">    Halasztott ráfordítások </t>
  </si>
  <si>
    <t>ESZKÖZÖK (AKTÍVÁK) ÖSSZESEN (1.+27.+52. sor)</t>
  </si>
  <si>
    <t>TOTAL ASSETS  (1.+27.+52.)</t>
  </si>
  <si>
    <t>MITTEL (AKTIVAS) INSGESAMT (Z. 01.+27.+52.)</t>
  </si>
  <si>
    <t>D. Saját tőke (58.+60.+61.+62.+63.+64.+67. sor)</t>
  </si>
  <si>
    <t>D. Owners' Equity (58.+60.+61.+62.+63.+64.+67.)</t>
  </si>
  <si>
    <t>D. Eigenkapital  (Z. 58.+60.+61.+62.+63.+64.+67.)</t>
  </si>
  <si>
    <t xml:space="preserve">  aus der Zeile 54.: zurückgekaufter Eigentumsanteil zum Nennwert </t>
  </si>
  <si>
    <t xml:space="preserve">     Értékhelyesbítés értékelési tartaléka</t>
  </si>
  <si>
    <t xml:space="preserve">     Valós értékelés értékelési tartaléka</t>
  </si>
  <si>
    <t xml:space="preserve">  VII. MÉRLEG SZERINTI EREDMÉNY</t>
  </si>
  <si>
    <t xml:space="preserve">  VII. PROFIT OR LOSS FOR THE YEAR </t>
  </si>
  <si>
    <t>E. Céltartalékok (69.-71. sor)</t>
  </si>
  <si>
    <t>E. Provisions (69.-71.)</t>
  </si>
  <si>
    <t>E. Rüxkstellungen  (Z. 69.-71.)</t>
  </si>
  <si>
    <t xml:space="preserve">    Céltartalék a várható kötelezettségekre</t>
  </si>
  <si>
    <t xml:space="preserve">    Céltartalék a jövőbeni költségekre</t>
  </si>
  <si>
    <t xml:space="preserve">    Egyéb céltartalék</t>
  </si>
  <si>
    <t>F. Kötelezettségek (73.+77.+86. sor)</t>
  </si>
  <si>
    <t>F. Liabilities  (73.+77.+86.)</t>
  </si>
  <si>
    <t>F. Verbindlichkeiten  (Z. 73.+77.+86.)</t>
  </si>
  <si>
    <t xml:space="preserve"> I. HÁTRASOROLT KÖTELEZETTSÉGEK (68.+69.+70. sor)  </t>
  </si>
  <si>
    <t xml:space="preserve"> I. SUBORDINATED LIABILITIES  (74.-76.)  </t>
  </si>
  <si>
    <t xml:space="preserve"> I. NACHRANGIGE VERBINDLICHKEITEN  (74.-76. sor)  </t>
  </si>
  <si>
    <t xml:space="preserve">    Hátrasorolt köt.-ek kapcsolt vállalkozással szemben</t>
  </si>
  <si>
    <t xml:space="preserve">    Hátrasorolt köt.-ek egyéb rész. visz. lévő váll. szemben</t>
  </si>
  <si>
    <t xml:space="preserve">    Hátrasorolt köt.-ek egyéb gazdálkodóval szemben</t>
  </si>
  <si>
    <t xml:space="preserve">  II. HOSSZÚ LEJÁRATÚ KÖTELEZETTSÉGEK (78.-85. sor)</t>
  </si>
  <si>
    <t xml:space="preserve">  II. LONG-TERM LIABILITIES  (78.-85. )</t>
  </si>
  <si>
    <t xml:space="preserve">  II. LANGFRISTIGE VERBINDLICHKEITEN  (Z. 78.-85.)</t>
  </si>
  <si>
    <t xml:space="preserve">    Hosszú lejáratra kapott kölcsönök</t>
  </si>
  <si>
    <t xml:space="preserve">    Átváltoztatható kötvények</t>
  </si>
  <si>
    <t xml:space="preserve">    Tartozások kötvénykibocsátások</t>
  </si>
  <si>
    <t xml:space="preserve">    Beruházási és fejlesztési hitelek</t>
  </si>
  <si>
    <t xml:space="preserve">    Egyéb hosszú lejáratú hitelek</t>
  </si>
  <si>
    <t xml:space="preserve">    Tartós köt.-ek kapcsolt vállalkozással szemben </t>
  </si>
  <si>
    <t xml:space="preserve">    Tartós köt.-ek egyéb rész. visz. lévő váll. szemben</t>
  </si>
  <si>
    <t xml:space="preserve">    Egyéb hosszú lejáratú kötelezettségek</t>
  </si>
  <si>
    <t xml:space="preserve"> III. RÖVID LEJÁRATÚ KÖTELEZETTSÉGEK (89.-97. sorok)</t>
  </si>
  <si>
    <t xml:space="preserve"> III. CURRENT LIABILITIES (87. and 89.-97.)</t>
  </si>
  <si>
    <t xml:space="preserve"> III. KURZFRISTIGE VERBINDLICHKEITEN  (87. und 89.-97.)</t>
  </si>
  <si>
    <t xml:space="preserve">    Rövid lejáratú kölcsönök</t>
  </si>
  <si>
    <t xml:space="preserve">     - aus der Zeile 81.: Wandelschuldvercshreibungen </t>
  </si>
  <si>
    <t xml:space="preserve">    Rövid lejáratú hitelek</t>
  </si>
  <si>
    <t xml:space="preserve">    Vevőtől kapott előlegek</t>
  </si>
  <si>
    <t xml:space="preserve">    Kötelezettségek áruszállításból és szolgáltatásból (szállítók)</t>
  </si>
  <si>
    <t xml:space="preserve">    Váltótartozások</t>
  </si>
  <si>
    <t xml:space="preserve">    Rövid lejáratú köt.ek kapcsolt vállalkozással szemben</t>
  </si>
  <si>
    <t xml:space="preserve">    Rövid lejáratú köt.ek egyéb rész.visz. lévő váll. szemben</t>
  </si>
  <si>
    <t xml:space="preserve">    Egyéb rövid lejáratú kötelezettségek</t>
  </si>
  <si>
    <t xml:space="preserve">    Kötelezettségek értékelési különbözete</t>
  </si>
  <si>
    <t xml:space="preserve">    Származékos ügyletek negatív értékelési különbözete</t>
  </si>
  <si>
    <t>G. Passzívák időbeli elhatárolások (99.-101. sor)</t>
  </si>
  <si>
    <t>G. Accrued and deferred liabilities (99.-101. )</t>
  </si>
  <si>
    <t>G. Passive Rechnungsabgrenzungsposten (Z. 99.-101.)</t>
  </si>
  <si>
    <t xml:space="preserve">    Bevételek passzív időbeli elhatárolása</t>
  </si>
  <si>
    <t xml:space="preserve">    Költségek, ráfordítások passzív időbeli elhatárolása</t>
  </si>
  <si>
    <t xml:space="preserve">    Halasztott bevételek</t>
  </si>
  <si>
    <t>FORRÁSOK (PASSZÍVÁK) ÖSSZESEN (57.+68.+72.+98. sor)</t>
  </si>
  <si>
    <t>TOTAL OWNERS' EQUITY AND LIABILITIES (57.+68.+72.+98.)</t>
  </si>
  <si>
    <t>QUELLEN (PASSIVA) INSGESAMT (Z.57.+68.+72.+98.)</t>
  </si>
  <si>
    <t>Belföldi értékesítés nettó árbevétele</t>
  </si>
  <si>
    <t xml:space="preserve">Net domestic sales </t>
  </si>
  <si>
    <t>Nettoumsatzerlöse, Inland</t>
  </si>
  <si>
    <t>Export értékesítés nettó árbevétele</t>
  </si>
  <si>
    <t xml:space="preserve">Net external sales </t>
  </si>
  <si>
    <t xml:space="preserve">Nettoumsatzerlöse, Ausland </t>
  </si>
  <si>
    <t>ÉRTÉKESÍTÉS NETTÓ ÁRBEVÉTELE (1.+2.)</t>
  </si>
  <si>
    <t>TOTAL SALES (REVENUES) (1.+2.)</t>
  </si>
  <si>
    <t>NETTOUMSATZERLÖSE (1.+2.)</t>
  </si>
  <si>
    <t>Saját termelésű készletek állományváltozása</t>
  </si>
  <si>
    <t xml:space="preserve">Variations in self-manufactured stoks </t>
  </si>
  <si>
    <t xml:space="preserve">Bestandsänderung der Vorräte aus eigener Produktion </t>
  </si>
  <si>
    <t>Saját előállítású eszközök aktívált értéke</t>
  </si>
  <si>
    <t xml:space="preserve">Own work capitalised </t>
  </si>
  <si>
    <t xml:space="preserve">Aktivierter Wert der selbst hergestellten Vermögensgegenstände </t>
  </si>
  <si>
    <t>AKTIVÁLT SAJÁT TELJ.-EK ÉRTÉKE (3.±4.)</t>
  </si>
  <si>
    <t>OWN PERFORMANCE CAPITALISED (3.±4.)</t>
  </si>
  <si>
    <t>AKTIVIERTE EIGENLEISTUNGEN  (3.±4.)</t>
  </si>
  <si>
    <t>EGYÉB BEVÉTELEK</t>
  </si>
  <si>
    <t xml:space="preserve">OTHER INCOME </t>
  </si>
  <si>
    <t xml:space="preserve">SONSTIGE ERTRÄGE </t>
  </si>
  <si>
    <t xml:space="preserve">Raw materials and consumables </t>
  </si>
  <si>
    <t>Aufwendungen für Roh-, Hilfs- und Betriebsstoffe</t>
  </si>
  <si>
    <t xml:space="preserve">Contracted services </t>
  </si>
  <si>
    <t xml:space="preserve">Aufwendungen für bezogene Leistungen </t>
  </si>
  <si>
    <t xml:space="preserve">Other service activities </t>
  </si>
  <si>
    <t xml:space="preserve">Aufwendungen für sonstige Leistungen </t>
  </si>
  <si>
    <t xml:space="preserve">Original cost of goods sold </t>
  </si>
  <si>
    <t xml:space="preserve">Aufwendungen für bezogene Waren </t>
  </si>
  <si>
    <t>Value of services sold (intermediated)</t>
  </si>
  <si>
    <t xml:space="preserve">Aufwendungen für verkaufte (vermittelte) Leistungen </t>
  </si>
  <si>
    <t>ANYAGJELLEGŰ RÁFORDÍTÁSOK (5.+6.+7.+8.+9.)</t>
  </si>
  <si>
    <t>MATERIAL COSTS  (5.+6.+7.+8.+9.)</t>
  </si>
  <si>
    <t>MATERIALAUFWENDUNGEN  (5.+6.+7.+8.+9.)</t>
  </si>
  <si>
    <t xml:space="preserve">Wages and salaries </t>
  </si>
  <si>
    <t xml:space="preserve">Lohn- und Gehaltskosten </t>
  </si>
  <si>
    <t xml:space="preserve">Other employee benefits </t>
  </si>
  <si>
    <t xml:space="preserve">Sonstige Personalaufwendungen </t>
  </si>
  <si>
    <t xml:space="preserve">Contributions on wages and salaries </t>
  </si>
  <si>
    <t xml:space="preserve">Lohnnebenkosten </t>
  </si>
  <si>
    <t>SZEMÉLYI JELLEGŰ RÁFORDÍTÁSOK (10.+11.+12.)</t>
  </si>
  <si>
    <t>STAFF COSTS  (10.+11.+12.)</t>
  </si>
  <si>
    <t>PERSONALAUFWAND (10.+11.+12.)</t>
  </si>
  <si>
    <t>ÉRTÉKCSÖKKENÉSI LEÍRÁS</t>
  </si>
  <si>
    <t xml:space="preserve">DEPRECIATION </t>
  </si>
  <si>
    <t xml:space="preserve">ABSCHREIBUNGEN </t>
  </si>
  <si>
    <t>EGYÉB RÁFORDÍTÁSOK</t>
  </si>
  <si>
    <t xml:space="preserve">OTHER OPERATING CHARGES </t>
  </si>
  <si>
    <t xml:space="preserve">SONSTIGE AUFWENDUNGEN </t>
  </si>
  <si>
    <t>ÜZEMI (üzleti)TEVÉKENYSÉG EREDMÉNYE(I±II+III-IV--V-VI-VII)</t>
  </si>
  <si>
    <t>INCOME FROM OPERATIONS I±II+III-IV--V-VI-VII)</t>
  </si>
  <si>
    <t>BETRIEBSERGEBNIS (GESCHÄFTSERGEBNIS) (I±II+III-IV--V-VI-VII)</t>
  </si>
  <si>
    <t>Kapott (járó) osztalék és részesedés</t>
  </si>
  <si>
    <t xml:space="preserve">Dividends and profit-sharing (receive or due) </t>
  </si>
  <si>
    <t xml:space="preserve">Erträge aus (zustehenden) Dividenden und Gewinnanteilen </t>
  </si>
  <si>
    <t>Részesedések értékesítésének árfolyamnyeresége</t>
  </si>
  <si>
    <t xml:space="preserve">Capital gains on investments </t>
  </si>
  <si>
    <t xml:space="preserve">Kursgewinne aus dem Verkauf von Beteiligungen </t>
  </si>
  <si>
    <t>Befektetett pénzügyi eszközök kamatai, árfolyamnyeresége</t>
  </si>
  <si>
    <t xml:space="preserve">Interest and capital gains on financial investments </t>
  </si>
  <si>
    <t xml:space="preserve">Zinsen und Kursgewinne von Finanzanlagen </t>
  </si>
  <si>
    <t>Egyéb kapott (járó) kamatok és kamatjellegű bevételek</t>
  </si>
  <si>
    <t xml:space="preserve">Other interest and similar income (received or due) </t>
  </si>
  <si>
    <t xml:space="preserve">Sonstige (zustehende) Zinsen und ähnliche Erträge </t>
  </si>
  <si>
    <t>Pénzügyi műveletek egyéb bevételei</t>
  </si>
  <si>
    <t xml:space="preserve">Other income from financial transactions </t>
  </si>
  <si>
    <t xml:space="preserve">Sonstige finanzielle Erträge </t>
  </si>
  <si>
    <t>PÉNZÜGYI MŰVELETEK BEVÉTELEI (13.+14.+15.+16.+17.)</t>
  </si>
  <si>
    <t>INCOME FROM FINANCIAL TRANSACTIONS (13.+14.+15.+16.+17.)</t>
  </si>
  <si>
    <t>FINANZERTRÄGE (13.+14.+15.+16.+17.)</t>
  </si>
  <si>
    <t>Befektetett pénzügyi eszközök árfolyamvesztesége</t>
  </si>
  <si>
    <t xml:space="preserve">Losses on financial investments </t>
  </si>
  <si>
    <t xml:space="preserve">Kursverluste von Finanzanlagen </t>
  </si>
  <si>
    <t>Fizetendő kamatok és kamatjellegű ráfordítások</t>
  </si>
  <si>
    <t xml:space="preserve">Interest payable and similar charges </t>
  </si>
  <si>
    <t xml:space="preserve">Zinsen und ähnliche Aufwendungen </t>
  </si>
  <si>
    <t>Részesedések, értékpapírok, bankberétek értékvesztése</t>
  </si>
  <si>
    <t xml:space="preserve">Losses on shares, securities and bank deposits </t>
  </si>
  <si>
    <t xml:space="preserve">Wertverluste von Beteiligungen, Wertpapieren und Bankguthaben </t>
  </si>
  <si>
    <t>Pénzügyi műveletek egyéb ráfordításai</t>
  </si>
  <si>
    <t xml:space="preserve">Other expenses on financial transactions </t>
  </si>
  <si>
    <t xml:space="preserve">Sonstige finanzielle Aufwendungen </t>
  </si>
  <si>
    <t>PÉNZÜGYI MŰVELETEK RÁFORDÍTÁSAI (18.+19.±20.+21.)</t>
  </si>
  <si>
    <t>EXPENSES ON FINANCIAL TRANSACTIONS (18.+19.±20.+21.)</t>
  </si>
  <si>
    <t>FINANZAUFWENDUNGEN  (18.+19.±20.+21.)</t>
  </si>
  <si>
    <t>PÉNZÜGYI MŰVELETEK EREDMÉNYE (VIII.-X.)</t>
  </si>
  <si>
    <t>PROFIT OR LOSS FROM FINANCIAL TRANSACTIONS (VIII.-X.)</t>
  </si>
  <si>
    <t>FINANZERGEBNIS (VIII.-X.)</t>
  </si>
  <si>
    <t>SZOKÁSOS VÁLLALKOZÁSI EREDMÉNY (±A.±B.)</t>
  </si>
  <si>
    <t>PROFIT OR LOSS OF ORDINARY ACTIVITIES (±A.±B.)</t>
  </si>
  <si>
    <t>ERGEBNIS DER GEWÖHNLICHEN GESCHAFTSTATIGKEIT  (±A.±B.)</t>
  </si>
  <si>
    <t xml:space="preserve">RENDKÍVÜLI BEVÉTELEK  </t>
  </si>
  <si>
    <t xml:space="preserve">EXTRAORDINARY INCOME  </t>
  </si>
  <si>
    <t xml:space="preserve">AUßERORDENTLICHE ERTRÄGE   </t>
  </si>
  <si>
    <t>RENDKÍVÜLI RÁFORDÍTÁSOK</t>
  </si>
  <si>
    <t xml:space="preserve">EXTRAORDINARY EXPENSES </t>
  </si>
  <si>
    <t xml:space="preserve">AUßERORDENTLICHE AUFWENDUNGEN </t>
  </si>
  <si>
    <t>RENDKÜLI EREDMÉNY (X.-XI.)</t>
  </si>
  <si>
    <t>EXTRAORDINARY PROFIT OR LOSS  (X.-XI.)</t>
  </si>
  <si>
    <t>AUßERORDENTLICHES ERGENIS  (X.-XI.)</t>
  </si>
  <si>
    <t>ADÓZÁS ELŐTTI EREDMÉNY ( ±C±D)</t>
  </si>
  <si>
    <t>INCOME BEFORE TAXES ( ±C±D)</t>
  </si>
  <si>
    <t>ERGEBNIS VOR STEUERN ( ±C±D)</t>
  </si>
  <si>
    <t xml:space="preserve">Tax payable </t>
  </si>
  <si>
    <t xml:space="preserve">Steuerpflicht </t>
  </si>
  <si>
    <t>ADÓZOTT EREDMÉNY   (±E-XII)</t>
  </si>
  <si>
    <t>PROFIT AFTER TAXES   (±E-XII)</t>
  </si>
  <si>
    <t>VERSTEUERTES ERGEBNIS    (±E-XII)</t>
  </si>
  <si>
    <t>Eredménytart. igénybe vétele osztalékra, részesedésre</t>
  </si>
  <si>
    <t xml:space="preserve">Profit reserves used for dividends and profit-sharing </t>
  </si>
  <si>
    <t xml:space="preserve">Entnahmen aus der Gewinnrücklage für dividenden und Gewinnanteile </t>
  </si>
  <si>
    <t>Jóváhagyott osztalék, részesedés</t>
  </si>
  <si>
    <t>Dividends and profit-sharing paid (payable)</t>
  </si>
  <si>
    <t xml:space="preserve">Bestätigte Deividenden und Gewinnanteile </t>
  </si>
  <si>
    <t>MÉRLEG SZERINTI EREDMÉNY (±F.+22.-23.)</t>
  </si>
  <si>
    <t>PROFIT OR LOSS FOR THE YEAR (±F.+22.-23.)</t>
  </si>
  <si>
    <t>BILANZERGEBNIS (±F.+22.-23.)</t>
  </si>
  <si>
    <t>Szokásos tevékenységből származó pénzeszköz változás</t>
  </si>
  <si>
    <t>Variation in cash-flow from operations (Operating cash-flow, 1-13)</t>
  </si>
  <si>
    <t>Mittelzufluss bzw.-abfluss aus laufender Geschäftstätigkeit (Geschäfts-Cash-Flow, Positionen 1 bis 13)</t>
  </si>
  <si>
    <t>Adózás előtti eredmény +/-</t>
  </si>
  <si>
    <t>Income before taxes +</t>
  </si>
  <si>
    <t>Ergebnis vor Steuern  +</t>
  </si>
  <si>
    <t>Elszámolt amortizáció +</t>
  </si>
  <si>
    <t>Depreciation write-off +</t>
  </si>
  <si>
    <t>Verrechnete Amortisation +</t>
  </si>
  <si>
    <t>Elszámolt értékvesztés és visszaírás +/-</t>
  </si>
  <si>
    <t>Loss in value and backmarking +</t>
  </si>
  <si>
    <t>Verrechnete Wertverluste und Rückschreibung +</t>
  </si>
  <si>
    <t>Céltartalék képzés és felhasználás különbsége +/-</t>
  </si>
  <si>
    <t>Difference between formation and utilization of provisions +</t>
  </si>
  <si>
    <t>Differenz der Bildung und Verwendung von Rückstellungen +</t>
  </si>
  <si>
    <t>Befektetett eszközök értékesítésének eredménye +/-</t>
  </si>
  <si>
    <t>Invested assets sold +</t>
  </si>
  <si>
    <t>Ergebnis des Verkaufs von Anlagevermögen +</t>
  </si>
  <si>
    <t>Szállítói kötelezettség változása +/-</t>
  </si>
  <si>
    <t>Variation in accounts payable +</t>
  </si>
  <si>
    <t>Änderung der Lieferantenschulden  +</t>
  </si>
  <si>
    <t>Egyéb rövidlejáratú kötelezettség változása +/-</t>
  </si>
  <si>
    <t>Variation in other short-term liabilities +</t>
  </si>
  <si>
    <t>Änderung der sonstigen kurzfristigen Verbindlichkeiten +</t>
  </si>
  <si>
    <t>Passzív időbeli elhatárolások változása +/-</t>
  </si>
  <si>
    <t>Variation in accrued and deferred liabilities +</t>
  </si>
  <si>
    <t>Änderung der passiven Rechnungsabgrenzungsposten +</t>
  </si>
  <si>
    <t>Vevő követelés változása +/-</t>
  </si>
  <si>
    <t>Variation in trade debtors +</t>
  </si>
  <si>
    <t>Änderung der Käuferforderungen +</t>
  </si>
  <si>
    <t>Forgóeszközök (vevőkövetelés és pénzeszköz nélkül) változása +/-</t>
  </si>
  <si>
    <t>Variation in current assets (without receivables and liqued assets) +</t>
  </si>
  <si>
    <t>Änderung des Umlaufvermögens (ohne Käuferforderungen und liquide Mittel) +</t>
  </si>
  <si>
    <t>Aktív időbeli elhatárolások változása +/-</t>
  </si>
  <si>
    <t>Variation in accrued and deferred assets +</t>
  </si>
  <si>
    <t>Änderung der aktiven Rechnungsabgrenzungsposten +</t>
  </si>
  <si>
    <t>Fizetett, fizetendő adó (nyereség után) -</t>
  </si>
  <si>
    <t>Tax paid or payable (on profit) -</t>
  </si>
  <si>
    <t>Gezahlte bzw. zu zahlende Steuern (für Gewinne) -</t>
  </si>
  <si>
    <t>Fizetett, fizetendő osztalék, részesedés -</t>
  </si>
  <si>
    <t>Dividends and profit-sharing paid or payable -</t>
  </si>
  <si>
    <t>Gezahlte bzw. zu zahlende Dividenden und Gewinnanteile -</t>
  </si>
  <si>
    <t>Befektetési tevékenységből származó pénzeszközváltozás</t>
  </si>
  <si>
    <t>Variation in cash-flow from investments (Investment cash-flow, 14-16)</t>
  </si>
  <si>
    <t>Mittelzufluss bzw.-abfluss aus der Investitionstätigkeit (Investitions-Cash-Flow, Positionen 14 bis 16)</t>
  </si>
  <si>
    <t>Befektetett eszközök beszerzése -</t>
  </si>
  <si>
    <t>Purchase of invested assets -</t>
  </si>
  <si>
    <t>Anschaffung von Anlagevermögen -</t>
  </si>
  <si>
    <t>Befektetett eszközök eladása +</t>
  </si>
  <si>
    <t>Sale of invested assets +</t>
  </si>
  <si>
    <t>Anderung der Lieferantenverplichtung von Investitionsgütern</t>
  </si>
  <si>
    <t>Kapott osztalék, részesedés +</t>
  </si>
  <si>
    <t>Dividends and profit-sharing received +</t>
  </si>
  <si>
    <t>Erhaltene Dividenden und Gewinnanteile +</t>
  </si>
  <si>
    <t>Pénzügyi műveletekből származó pénzeszköz-változás</t>
  </si>
  <si>
    <t>Variation in cash-flow from financial transactions (Financial cash-flow, 17-27)</t>
  </si>
  <si>
    <t xml:space="preserve">Mittelzufluss bzw.-abfluss aus der Finanzierungstätigkeit (Finanzierung-Cash-Flow, Positionen 17 bis 27) </t>
  </si>
  <si>
    <t>Részvénykibocsátás, tőkebevonás bevétele +</t>
  </si>
  <si>
    <t>Receipts from shares issue (capital influx) +</t>
  </si>
  <si>
    <t>Einnahmen aus Aktienemissionen und Kapitaleinbeziehungen +</t>
  </si>
  <si>
    <t>Kötvény, hitelviszonyt megtestesítő értékpapír kibocsátásának bevétele +</t>
  </si>
  <si>
    <t>Receipts from the issue of bonds and securities signifying a creditor relationship +</t>
  </si>
  <si>
    <t>Einnahmen aus der Begebung von Anleihen bzw. ein Kreditverhältnis verköpernden Wertpapieren +</t>
  </si>
  <si>
    <t>Hitel és kölcsön felvétele +</t>
  </si>
  <si>
    <t>Borrowings +</t>
  </si>
  <si>
    <t>Aufnahme von Krediten und Darlehen +</t>
  </si>
  <si>
    <t>Hosszú lejáratra nyújtott kölcsönök és elhelyezett bankbetétek törlesztése, megszüntetése, beváltása +</t>
  </si>
  <si>
    <t>Repayment, termination or redemption of long-term loans and bank deposits +</t>
  </si>
  <si>
    <t>Tilgung, Auflösung bzw. Einlösung von langfrisig gewährten Darlehen und angelegten Bankguthaben +</t>
  </si>
  <si>
    <t>Véglegesen kapott pénzeszköz +</t>
  </si>
  <si>
    <t>Non-repayable assets received +</t>
  </si>
  <si>
    <t>Endgültig erhaltene Geldmittel +</t>
  </si>
  <si>
    <t>Részvénybevonás, tőkekivonás (tőkeleszállítás) -</t>
  </si>
  <si>
    <t>Cancellation of shares, disinvestment (capital reduction) -</t>
  </si>
  <si>
    <t>Aktieneinziehung, Kapitalentnahme (Kapitalsenkung) -</t>
  </si>
  <si>
    <t>Kötvény és hitelviszonyt megtestesítő értékpapír visszafizetése -</t>
  </si>
  <si>
    <t>Redeemed bonds and securities signifying a creditor relationship -</t>
  </si>
  <si>
    <t>Rückzahlung von Anleiben bzw. ein Kreditverhältnis verkörpernden Wertpapieren -</t>
  </si>
  <si>
    <t>Hitel és kölcsön törlesztése, visszafizetése -</t>
  </si>
  <si>
    <t>Loan installment payments -</t>
  </si>
  <si>
    <t>Tilgung bzw. Rückzahlung von Krediten und Darlehen -</t>
  </si>
  <si>
    <t>Hosszú lejáratra nyújtott kölcsönök és elhelyezett bankbetétek -</t>
  </si>
  <si>
    <t>Long-term loans and bank deposits -</t>
  </si>
  <si>
    <t>Langfristig gewährte Darlehen und angelegte Bankguthaben -</t>
  </si>
  <si>
    <t>Véglegesen átadott pénzeszközök -</t>
  </si>
  <si>
    <t>Non-repayable assets transferred -</t>
  </si>
  <si>
    <t>Endgültig übergebene Geldmittel -</t>
  </si>
  <si>
    <t>Alapítókkal szembeni, illetve egyéb hosszú lejáratú kötelezettség  változása +/-</t>
  </si>
  <si>
    <t>Variation in liabilities due to founders and in other long-term liabilities +</t>
  </si>
  <si>
    <t>Änderung der Verbindlichkeiten gegenüber den Gründern bzw. sonstiger langfristiger Verbindlichkeiten +</t>
  </si>
  <si>
    <t>Pénzeszközök változása (±I.±II.±III. sorok)</t>
  </si>
  <si>
    <t>Variation in liquid assets  (I.+II.+III.)  +</t>
  </si>
  <si>
    <t xml:space="preserve">Änderung der liquiden Mittel (Positionen I.+II.+III.) </t>
  </si>
  <si>
    <t>Adatlap</t>
  </si>
  <si>
    <t>A beszámoló főbb adatai</t>
  </si>
  <si>
    <t xml:space="preserve">     Eszközök értékelése</t>
  </si>
  <si>
    <t>Források értékelése</t>
  </si>
  <si>
    <t>Évvégi átértékelés</t>
  </si>
  <si>
    <t>Verzió: 1.0</t>
  </si>
  <si>
    <t>Ha a beírt érték 1-es a borító oldalon megjelenik:</t>
  </si>
  <si>
    <t>6. Tartósan adott kölcsön egyéb részesedési viszonyban álló váll.-ban</t>
  </si>
  <si>
    <t>4. Tartósan adott kölcsön jelentős tul. rész. viszonyban álló váll.-ban</t>
  </si>
  <si>
    <t>3. Követelések jelentős tulajdoni részesedési visz. lévő váll. szemben</t>
  </si>
  <si>
    <t>4. Követelések egyéb részesedési visz. lévő váll. szemben</t>
  </si>
  <si>
    <t>3.  Hátrasorolt kötelezettségek egyéb részesedési visz. lévő váll. szemben</t>
  </si>
  <si>
    <t>7. Tartós kötelezettségek jelentős tul. részesedési visz. lévő váll.szemben</t>
  </si>
  <si>
    <t>8. Tartós kötelezettségek egyéb részesedési visz. lévő váll.-kal szemben</t>
  </si>
  <si>
    <t xml:space="preserve">   15. Befektetett pénzügyi eszközökből (értékpapírokból, kölcsönökből származó bevételek, árfolyamnyereségek</t>
  </si>
  <si>
    <t>8.  Rövid lejáratú kötelettségek egyéb részesedési visz. lévő váll.szemben</t>
  </si>
  <si>
    <t>7.  Rövid lejáratú kötelettségek jelentős tul.visz. lévő váll.szemben</t>
  </si>
  <si>
    <t>2.  Hátrasorolt kötelezettségek jelentős tul.visz. lévő váll. szemben</t>
  </si>
  <si>
    <r>
      <rPr>
        <sz val="11"/>
        <rFont val="Arial CE"/>
        <family val="2"/>
        <charset val="238"/>
      </rPr>
      <t xml:space="preserve">Cash-Flow kimutatás </t>
    </r>
    <r>
      <rPr>
        <b/>
        <i/>
        <sz val="11"/>
        <rFont val="Arial CE"/>
        <family val="2"/>
        <charset val="238"/>
      </rPr>
      <t xml:space="preserve"> ( Csak további adatok megadásával !!! )</t>
    </r>
  </si>
  <si>
    <t>10233342-4754-113-19</t>
  </si>
  <si>
    <t>19-09-513341</t>
  </si>
  <si>
    <t>10233342-2-19</t>
  </si>
  <si>
    <t>Összeg / Összeg SP-ben</t>
  </si>
  <si>
    <t>1</t>
  </si>
  <si>
    <t xml:space="preserve">Kategóriák </t>
  </si>
  <si>
    <t xml:space="preserve">Nem lejárt </t>
  </si>
  <si>
    <t>30 napon belüli</t>
  </si>
  <si>
    <t>30-60</t>
  </si>
  <si>
    <t>60-90</t>
  </si>
  <si>
    <t>90-180</t>
  </si>
  <si>
    <t>180-365</t>
  </si>
  <si>
    <t>365 napon túli</t>
  </si>
  <si>
    <t>(üres)</t>
  </si>
  <si>
    <t>Végösszeg</t>
  </si>
  <si>
    <t xml:space="preserve">ebből kapcsolt: </t>
  </si>
  <si>
    <t xml:space="preserve">Kapcsolt nélkül </t>
  </si>
  <si>
    <t>Veszprém, Pápai út 36.</t>
  </si>
  <si>
    <t xml:space="preserve">Immateriális </t>
  </si>
  <si>
    <t xml:space="preserve">Tárgyi </t>
  </si>
  <si>
    <t>Befektetett</t>
  </si>
  <si>
    <t>Aktív időbeli</t>
  </si>
  <si>
    <t xml:space="preserve">Jegyzett </t>
  </si>
  <si>
    <t>Jegyzett, de</t>
  </si>
  <si>
    <t>Eredmény-</t>
  </si>
  <si>
    <t>Lekötött</t>
  </si>
  <si>
    <t>Értékelési</t>
  </si>
  <si>
    <t xml:space="preserve">Adózott </t>
  </si>
  <si>
    <t xml:space="preserve">Leányváll. </t>
  </si>
  <si>
    <t xml:space="preserve">Külső tagok </t>
  </si>
  <si>
    <t xml:space="preserve">Hátrasorolt </t>
  </si>
  <si>
    <t>Hosszú lej.</t>
  </si>
  <si>
    <t>Rövid lej. köt.</t>
  </si>
  <si>
    <t>Passzív id.</t>
  </si>
  <si>
    <t>Ellenőrző</t>
  </si>
  <si>
    <t>javak</t>
  </si>
  <si>
    <t>pü-i eszk.</t>
  </si>
  <si>
    <t>Vevők kiv.</t>
  </si>
  <si>
    <t>Elhatárolások</t>
  </si>
  <si>
    <t>Tőke</t>
  </si>
  <si>
    <t>be nem fiz. t.</t>
  </si>
  <si>
    <t>Tartalék</t>
  </si>
  <si>
    <t>tartalék</t>
  </si>
  <si>
    <t>Eredmény</t>
  </si>
  <si>
    <t xml:space="preserve">saját tőke </t>
  </si>
  <si>
    <t>részesedése</t>
  </si>
  <si>
    <t>Köt.</t>
  </si>
  <si>
    <t>kiv. szállítók</t>
  </si>
  <si>
    <t>elhatárolások</t>
  </si>
  <si>
    <t>oszlop</t>
  </si>
  <si>
    <t>Nyitóegyenleg</t>
  </si>
  <si>
    <t>Záróegyenleg</t>
  </si>
  <si>
    <t>NÖVEKEDÉS  /CSÖKKENÉS</t>
  </si>
  <si>
    <t xml:space="preserve">Beszámoló 2018. </t>
  </si>
  <si>
    <t>Beszámoló 2019</t>
  </si>
  <si>
    <t>SZOKÁSOS TEVÉKENYSÉGBŐL SZÁRMAZÓ</t>
  </si>
  <si>
    <t>PÉNZESZKÖZ VÁLTOZÁS</t>
  </si>
  <si>
    <t>1.  Adózás előtti eredmény</t>
  </si>
  <si>
    <t>2.  Elszámolt amortizáció</t>
  </si>
  <si>
    <t>3.  Elszámolt értékvesztés és visszaírás</t>
  </si>
  <si>
    <t>4.  Céltartalék képzés és felhasználás különbözete</t>
  </si>
  <si>
    <t>5.  Befektetett eszközök értékesítésének eredménye</t>
  </si>
  <si>
    <t>6.  Szállítói kötelezettség változása</t>
  </si>
  <si>
    <t>7.  Egyéb rövidlejáratú kötelezettség változása</t>
  </si>
  <si>
    <t>8.  Passzív időbeli elhatárolások változása</t>
  </si>
  <si>
    <t>9.  Vevőkövetelés változása</t>
  </si>
  <si>
    <t>10. Forgóeszközök változása (vevő és pénzeszköz nélk.)</t>
  </si>
  <si>
    <t>11. Aktív időbeli elhatárolások változása</t>
  </si>
  <si>
    <t>12. Fizetett, fizetendő adó (nyereség után)</t>
  </si>
  <si>
    <t>13. Fizetett, fizetendő osztalék, részesedés</t>
  </si>
  <si>
    <t xml:space="preserve"> I. Működési Cash-flow</t>
  </si>
  <si>
    <t>BEFEKTETÉSI TEVÉKENYSÉGBŐL</t>
  </si>
  <si>
    <t>SZÁRMAZÓ PÉNZESZKÖZ VÁLTOZÁS</t>
  </si>
  <si>
    <t>14. Befektetett eszközök beszerzése</t>
  </si>
  <si>
    <t>15. Befektetett eszközök eladása</t>
  </si>
  <si>
    <t>16. Hosszú lejáratra nyújtott kölcsönök törlesztése, beváltása, megszüntetése</t>
  </si>
  <si>
    <t>17. Hosszú lejáratra nyújtott kölcsönök</t>
  </si>
  <si>
    <t xml:space="preserve">18. Kapott osztalék, </t>
  </si>
  <si>
    <t>II. Befektetési Cash-flow</t>
  </si>
  <si>
    <t>PÉNZÜGYI MÜVELETEKBŐL SZÁRMAZÓ</t>
  </si>
  <si>
    <t>19. Részvénykibocsátás, tőkebevonás bevétele +</t>
  </si>
  <si>
    <t>20. Kötvény, hitelviszonyt megtestesítő értékpapír kibocsátásának kibocsátás bevétele +</t>
  </si>
  <si>
    <t>21. Hitel és kölcsön felvétele +</t>
  </si>
  <si>
    <t>22. Véglegesen kapott pénzeszköz +</t>
  </si>
  <si>
    <t>23. Részvénybevonás tőkekivonás (Tőkeleszállítás) -</t>
  </si>
  <si>
    <t>24. Kötvény és hiteéviszonyt  megtestesítő értékpapír visszafizetése -</t>
  </si>
  <si>
    <t>25. Hitel és kölcsön törlesztés, -visszafizetése -</t>
  </si>
  <si>
    <t>26.Véglegesen átadott pénzeszköz</t>
  </si>
  <si>
    <t>III. Cash-flow pénzügyi müveletekből</t>
  </si>
  <si>
    <t>IV. Pénzeszközök változása (I.+/-II.+/-III. sorok)</t>
  </si>
  <si>
    <t xml:space="preserve">27. Devizás pénzeszközök átértékelése </t>
  </si>
  <si>
    <t>V. Pénzeszközök mérleg szerinti változása (IV. +/-27. sorok)</t>
  </si>
  <si>
    <t>Nyitó pénzeszközállomány</t>
  </si>
  <si>
    <t>Záró pénzeszközállomány</t>
  </si>
  <si>
    <t>Ellenörző szám (a nettó pénzmozgással egyezik)</t>
  </si>
  <si>
    <t>Eltérés (nullának kell lenni)</t>
  </si>
  <si>
    <t>961200, 961210</t>
  </si>
  <si>
    <t>Értékesített  tárgyi eszk. bev</t>
  </si>
  <si>
    <t>861000, 861020</t>
  </si>
  <si>
    <t>Érték.immat. tárgyi eszk. könyv szerinti ért.</t>
  </si>
  <si>
    <t xml:space="preserve">selejtezett  immat. </t>
  </si>
  <si>
    <t>861200, 861210</t>
  </si>
  <si>
    <t xml:space="preserve">Selejtezettt tárgyi estk </t>
  </si>
  <si>
    <t>Követelések visszaírt értékvesztése</t>
  </si>
  <si>
    <t>Egyéb követelések visszaírt értékvesztése</t>
  </si>
  <si>
    <t>Követelések elszámolt értékvesztése</t>
  </si>
  <si>
    <t>Egyéb követelések elsz. Értékvesztése</t>
  </si>
  <si>
    <t>9661</t>
  </si>
  <si>
    <t>Készletek visszaírt értékvesztése</t>
  </si>
  <si>
    <t>8661</t>
  </si>
  <si>
    <t>Készletek elszámolt értékvesztése</t>
  </si>
  <si>
    <t>Immateriális javak elszámolt terven felüli écs.</t>
  </si>
  <si>
    <t>Tárgyi eszközök elszámolt terven felüli écs.</t>
  </si>
  <si>
    <t>874</t>
  </si>
  <si>
    <t>Részesedések, értékpapírok, bankbetétek értékveszt</t>
  </si>
  <si>
    <t>VÖRÖSKŐ KFT.</t>
  </si>
  <si>
    <t xml:space="preserve">2020.01.01-2020.12.31 </t>
  </si>
  <si>
    <t>2021.01.01-2021.06.30</t>
  </si>
  <si>
    <t>Veszprém, 2023. január 30</t>
  </si>
  <si>
    <t>2022. december 31</t>
  </si>
  <si>
    <t>2023 üzleti év I. félév</t>
  </si>
  <si>
    <t>2023. I. félév (2022. 12.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</si>
</sst>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\-??\ _F_t_-;_-@_-"/>
    <numFmt numFmtId="165" formatCode="#,###,###,###,##0"/>
    <numFmt numFmtId="166" formatCode="dd\ mmmm\ yyyy;@"/>
    <numFmt numFmtId="167" formatCode="#,##0.00_ ;[Red]\-#,##0.00\ "/>
    <numFmt numFmtId="168" formatCode="#,##0_ ;[Red]\-#,##0\ "/>
    <numFmt numFmtId="169" formatCode="yyyy&quot;. &quot;mmm&quot;. &quot;d\.;@"/>
    <numFmt numFmtId="170" formatCode="yyyy\-mm\-dd"/>
    <numFmt numFmtId="171" formatCode="_-* #,##0\ _F_t_-;\-* #,##0\ _F_t_-;_-* \-??\ _F_t_-;_-@_-"/>
    <numFmt numFmtId="172" formatCode="#,##0\ ;\(#,##0\)"/>
    <numFmt numFmtId="173" formatCode="_-* #,##0_-;\-* #,##0_-;_-* &quot;-&quot;??_-;_-@_-"/>
  </numFmts>
  <fonts count="95">
    <font>
      <sz val="12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1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16"/>
      <name val="Arial CE"/>
      <family val="2"/>
      <charset val="238"/>
    </font>
    <font>
      <u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i/>
      <sz val="11"/>
      <name val="Arial CE"/>
      <family val="2"/>
      <charset val="238"/>
    </font>
    <font>
      <u/>
      <sz val="9"/>
      <name val="Arial CE"/>
      <family val="2"/>
      <charset val="238"/>
    </font>
    <font>
      <u/>
      <sz val="11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4"/>
      <name val="Arial Narrow"/>
      <family val="2"/>
      <charset val="238"/>
    </font>
    <font>
      <b/>
      <i/>
      <sz val="9"/>
      <name val="Arial Narrow"/>
      <family val="2"/>
      <charset val="238"/>
    </font>
    <font>
      <sz val="10"/>
      <name val="Times New Roman"/>
      <family val="1"/>
      <charset val="238"/>
    </font>
    <font>
      <b/>
      <i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color rgb="FF548235"/>
      <name val="Arial CE"/>
      <family val="2"/>
      <charset val="238"/>
    </font>
    <font>
      <sz val="11"/>
      <color rgb="FF548235"/>
      <name val="Arial CE"/>
      <family val="2"/>
      <charset val="238"/>
    </font>
    <font>
      <u/>
      <sz val="12"/>
      <color rgb="FF548235"/>
      <name val="Arial CE"/>
      <family val="2"/>
      <charset val="238"/>
    </font>
    <font>
      <u/>
      <sz val="10"/>
      <color rgb="FF548235"/>
      <name val="Arial CE"/>
      <family val="2"/>
      <charset val="238"/>
    </font>
    <font>
      <sz val="10"/>
      <color rgb="FF548235"/>
      <name val="Arial CE"/>
      <family val="2"/>
      <charset val="238"/>
    </font>
    <font>
      <b/>
      <u/>
      <sz val="12"/>
      <color rgb="FF548235"/>
      <name val="Arial CE"/>
      <family val="2"/>
      <charset val="238"/>
    </font>
    <font>
      <u/>
      <sz val="11"/>
      <color rgb="FF548235"/>
      <name val="Arial CE"/>
      <family val="2"/>
      <charset val="238"/>
    </font>
    <font>
      <u/>
      <sz val="9"/>
      <color rgb="FF548235"/>
      <name val="Arial CE"/>
      <family val="2"/>
      <charset val="238"/>
    </font>
    <font>
      <b/>
      <sz val="9"/>
      <color rgb="FF548235"/>
      <name val="Arial CE"/>
      <family val="2"/>
      <charset val="238"/>
    </font>
    <font>
      <b/>
      <sz val="11"/>
      <color rgb="FF548235"/>
      <name val="Arial CE"/>
      <family val="2"/>
      <charset val="238"/>
    </font>
    <font>
      <sz val="9"/>
      <color rgb="FF548235"/>
      <name val="Arial Narrow"/>
      <family val="2"/>
      <charset val="238"/>
    </font>
    <font>
      <b/>
      <sz val="9"/>
      <color theme="9" tint="-0.499984740745262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rgb="FF548235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b/>
      <u/>
      <sz val="12"/>
      <color rgb="FF548235"/>
      <name val="Calibri Light"/>
      <family val="2"/>
      <charset val="238"/>
      <scheme val="major"/>
    </font>
    <font>
      <b/>
      <sz val="11"/>
      <color indexed="1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u/>
      <sz val="10"/>
      <name val="Calibri Light"/>
      <family val="2"/>
      <charset val="238"/>
      <scheme val="major"/>
    </font>
    <font>
      <sz val="12"/>
      <color theme="0" tint="-0.24997711111789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ms Rmn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ms Rmn"/>
      <charset val="238"/>
    </font>
    <font>
      <i/>
      <sz val="10"/>
      <name val="Times New Roman CE"/>
      <family val="1"/>
      <charset val="238"/>
    </font>
    <font>
      <i/>
      <sz val="10"/>
      <name val="Tms Rmn"/>
      <charset val="238"/>
    </font>
    <font>
      <sz val="10"/>
      <name val="Geneva"/>
      <family val="2"/>
      <charset val="238"/>
    </font>
    <font>
      <sz val="8"/>
      <name val="Geneva"/>
      <family val="2"/>
    </font>
    <font>
      <sz val="8"/>
      <name val="Geneva"/>
      <family val="2"/>
      <charset val="238"/>
    </font>
    <font>
      <sz val="8"/>
      <name val="Tms Rmn"/>
      <charset val="238"/>
    </font>
    <font>
      <sz val="8"/>
      <name val="Geneva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 CE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E2EFDA"/>
        <bgColor indexed="34"/>
      </patternFill>
    </fill>
    <fill>
      <patternFill patternType="solid">
        <fgColor rgb="FFE2EFDA"/>
        <bgColor indexed="31"/>
      </patternFill>
    </fill>
    <fill>
      <patternFill patternType="solid">
        <fgColor rgb="FFE2EFDA"/>
        <bgColor indexed="41"/>
      </patternFill>
    </fill>
    <fill>
      <patternFill patternType="solid">
        <fgColor rgb="FFA9D08E"/>
        <bgColor indexed="40"/>
      </patternFill>
    </fill>
    <fill>
      <patternFill patternType="solid">
        <fgColor rgb="FFA9D08E"/>
        <bgColor indexed="41"/>
      </patternFill>
    </fill>
    <fill>
      <patternFill patternType="solid">
        <fgColor rgb="FFE2EFDA"/>
        <bgColor indexed="40"/>
      </patternFill>
    </fill>
    <fill>
      <patternFill patternType="solid">
        <fgColor rgb="FFECF5E7"/>
        <bgColor indexed="34"/>
      </patternFill>
    </fill>
    <fill>
      <patternFill patternType="solid">
        <fgColor rgb="FFECF5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ECF5E7"/>
        <bgColor indexed="41"/>
      </patternFill>
    </fill>
    <fill>
      <patternFill patternType="solid">
        <fgColor rgb="FFECF5E7"/>
        <bgColor indexed="27"/>
      </patternFill>
    </fill>
    <fill>
      <patternFill patternType="solid">
        <fgColor rgb="FFE2EFDA"/>
        <bgColor indexed="2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8">
    <xf numFmtId="0" fontId="0" fillId="0" borderId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164" fontId="43" fillId="0" borderId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top"/>
    </xf>
    <xf numFmtId="0" fontId="4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9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10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9" fontId="43" fillId="0" borderId="0" applyFill="0" applyBorder="0" applyAlignment="0" applyProtection="0"/>
  </cellStyleXfs>
  <cellXfs count="537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7" fillId="0" borderId="2" xfId="0" applyFont="1" applyBorder="1"/>
    <xf numFmtId="0" fontId="5" fillId="0" borderId="2" xfId="0" applyFont="1" applyBorder="1"/>
    <xf numFmtId="0" fontId="17" fillId="0" borderId="0" xfId="0" applyFont="1"/>
    <xf numFmtId="0" fontId="5" fillId="0" borderId="0" xfId="0" applyFont="1"/>
    <xf numFmtId="3" fontId="5" fillId="0" borderId="0" xfId="0" applyNumberFormat="1" applyFont="1"/>
    <xf numFmtId="0" fontId="0" fillId="0" borderId="0" xfId="0" applyProtection="1">
      <protection locked="0"/>
    </xf>
    <xf numFmtId="0" fontId="18" fillId="0" borderId="0" xfId="0" applyFont="1"/>
    <xf numFmtId="0" fontId="18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19" fillId="0" borderId="0" xfId="0" applyNumberFormat="1" applyFont="1" applyAlignment="1">
      <alignment horizontal="right"/>
    </xf>
    <xf numFmtId="0" fontId="20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3" fontId="5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 applyProtection="1">
      <alignment horizontal="right"/>
      <protection locked="0"/>
    </xf>
    <xf numFmtId="0" fontId="22" fillId="0" borderId="0" xfId="0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20" fillId="0" borderId="9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4" fillId="0" borderId="9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9" xfId="0" applyBorder="1"/>
    <xf numFmtId="166" fontId="0" fillId="0" borderId="0" xfId="0" applyNumberFormat="1"/>
    <xf numFmtId="0" fontId="13" fillId="0" borderId="0" xfId="0" applyFont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left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 shrinkToFit="1"/>
    </xf>
    <xf numFmtId="0" fontId="2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/>
    <xf numFmtId="0" fontId="17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5" fillId="2" borderId="0" xfId="0" applyFont="1" applyFill="1"/>
    <xf numFmtId="0" fontId="0" fillId="2" borderId="0" xfId="0" applyFill="1"/>
    <xf numFmtId="0" fontId="17" fillId="2" borderId="0" xfId="0" applyFont="1" applyFill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29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0" fillId="0" borderId="0" xfId="0" applyFont="1"/>
    <xf numFmtId="0" fontId="11" fillId="0" borderId="0" xfId="35" applyAlignment="1" applyProtection="1">
      <alignment horizontal="center"/>
      <protection locked="0" hidden="1"/>
    </xf>
    <xf numFmtId="0" fontId="11" fillId="0" borderId="0" xfId="35" applyProtection="1">
      <protection locked="0" hidden="1"/>
    </xf>
    <xf numFmtId="167" fontId="11" fillId="0" borderId="0" xfId="35" applyNumberFormat="1" applyProtection="1">
      <protection locked="0" hidden="1"/>
    </xf>
    <xf numFmtId="0" fontId="27" fillId="0" borderId="0" xfId="0" applyFont="1"/>
    <xf numFmtId="0" fontId="34" fillId="0" borderId="0" xfId="0" applyFont="1"/>
    <xf numFmtId="0" fontId="35" fillId="0" borderId="0" xfId="0" applyFont="1"/>
    <xf numFmtId="0" fontId="7" fillId="0" borderId="0" xfId="32" applyFont="1"/>
    <xf numFmtId="0" fontId="7" fillId="0" borderId="0" xfId="34" applyFont="1" applyProtection="1">
      <protection hidden="1"/>
    </xf>
    <xf numFmtId="0" fontId="7" fillId="0" borderId="0" xfId="34" applyFont="1" applyAlignment="1" applyProtection="1">
      <alignment horizontal="center"/>
      <protection hidden="1"/>
    </xf>
    <xf numFmtId="0" fontId="29" fillId="0" borderId="0" xfId="32" applyFont="1"/>
    <xf numFmtId="0" fontId="36" fillId="0" borderId="0" xfId="32" applyFont="1"/>
    <xf numFmtId="0" fontId="30" fillId="0" borderId="0" xfId="34" applyFont="1" applyProtection="1">
      <protection hidden="1"/>
    </xf>
    <xf numFmtId="0" fontId="36" fillId="0" borderId="0" xfId="32" applyFont="1" applyAlignment="1">
      <alignment horizontal="right"/>
    </xf>
    <xf numFmtId="0" fontId="27" fillId="0" borderId="0" xfId="32" applyFont="1"/>
    <xf numFmtId="0" fontId="29" fillId="0" borderId="0" xfId="32" applyFont="1" applyAlignment="1">
      <alignment horizontal="right"/>
    </xf>
    <xf numFmtId="0" fontId="37" fillId="0" borderId="21" xfId="34" applyFont="1" applyBorder="1" applyAlignment="1" applyProtection="1">
      <alignment horizontal="center" wrapText="1"/>
      <protection hidden="1"/>
    </xf>
    <xf numFmtId="0" fontId="36" fillId="0" borderId="21" xfId="34" applyFont="1" applyBorder="1" applyAlignment="1" applyProtection="1">
      <alignment horizontal="left" vertical="top"/>
      <protection hidden="1"/>
    </xf>
    <xf numFmtId="0" fontId="36" fillId="0" borderId="22" xfId="34" applyFont="1" applyBorder="1" applyAlignment="1" applyProtection="1">
      <alignment horizontal="left" vertical="top" wrapText="1"/>
      <protection hidden="1"/>
    </xf>
    <xf numFmtId="0" fontId="37" fillId="0" borderId="22" xfId="34" applyFont="1" applyBorder="1" applyAlignment="1" applyProtection="1">
      <alignment horizontal="left" vertical="top" wrapText="1"/>
      <protection hidden="1"/>
    </xf>
    <xf numFmtId="0" fontId="37" fillId="0" borderId="22" xfId="34" applyFont="1" applyBorder="1" applyAlignment="1" applyProtection="1">
      <alignment horizontal="left"/>
      <protection hidden="1"/>
    </xf>
    <xf numFmtId="4" fontId="37" fillId="0" borderId="23" xfId="34" applyNumberFormat="1" applyFont="1" applyBorder="1" applyProtection="1">
      <protection hidden="1"/>
    </xf>
    <xf numFmtId="0" fontId="37" fillId="0" borderId="21" xfId="34" applyFont="1" applyBorder="1" applyAlignment="1" applyProtection="1">
      <alignment horizontal="left"/>
      <protection hidden="1"/>
    </xf>
    <xf numFmtId="0" fontId="11" fillId="0" borderId="22" xfId="34" applyBorder="1" applyProtection="1">
      <protection hidden="1"/>
    </xf>
    <xf numFmtId="0" fontId="11" fillId="0" borderId="23" xfId="34" applyBorder="1" applyProtection="1">
      <protection hidden="1"/>
    </xf>
    <xf numFmtId="0" fontId="37" fillId="0" borderId="0" xfId="34" applyFont="1" applyAlignment="1" applyProtection="1">
      <alignment horizontal="center" wrapText="1"/>
      <protection hidden="1"/>
    </xf>
    <xf numFmtId="0" fontId="39" fillId="0" borderId="0" xfId="34" applyFont="1" applyAlignment="1" applyProtection="1">
      <alignment horizontal="left" vertical="top"/>
      <protection hidden="1"/>
    </xf>
    <xf numFmtId="0" fontId="37" fillId="0" borderId="0" xfId="34" applyFont="1" applyAlignment="1" applyProtection="1">
      <alignment horizontal="left" vertical="top" wrapText="1"/>
      <protection hidden="1"/>
    </xf>
    <xf numFmtId="0" fontId="38" fillId="0" borderId="0" xfId="34" applyFont="1" applyAlignment="1" applyProtection="1">
      <alignment horizontal="center"/>
      <protection hidden="1"/>
    </xf>
    <xf numFmtId="168" fontId="37" fillId="0" borderId="0" xfId="34" applyNumberFormat="1" applyFont="1" applyAlignment="1" applyProtection="1">
      <alignment horizontal="right"/>
      <protection hidden="1"/>
    </xf>
    <xf numFmtId="0" fontId="37" fillId="0" borderId="0" xfId="34" applyFont="1" applyAlignment="1" applyProtection="1">
      <alignment horizontal="left"/>
      <protection hidden="1"/>
    </xf>
    <xf numFmtId="4" fontId="37" fillId="0" borderId="0" xfId="34" applyNumberFormat="1" applyFont="1" applyProtection="1">
      <protection hidden="1"/>
    </xf>
    <xf numFmtId="0" fontId="11" fillId="0" borderId="0" xfId="34" applyProtection="1">
      <protection hidden="1"/>
    </xf>
    <xf numFmtId="0" fontId="11" fillId="0" borderId="0" xfId="34" applyAlignment="1" applyProtection="1">
      <alignment horizontal="center"/>
      <protection locked="0"/>
    </xf>
    <xf numFmtId="0" fontId="11" fillId="0" borderId="0" xfId="34" applyProtection="1">
      <protection locked="0"/>
    </xf>
    <xf numFmtId="0" fontId="7" fillId="0" borderId="0" xfId="34" applyFont="1" applyProtection="1">
      <protection locked="0"/>
    </xf>
    <xf numFmtId="0" fontId="36" fillId="0" borderId="0" xfId="34" applyFont="1" applyProtection="1">
      <protection locked="0"/>
    </xf>
    <xf numFmtId="0" fontId="29" fillId="0" borderId="0" xfId="34" applyFont="1" applyProtection="1">
      <protection locked="0"/>
    </xf>
    <xf numFmtId="0" fontId="7" fillId="0" borderId="0" xfId="32" applyFont="1" applyAlignment="1" applyProtection="1">
      <alignment horizontal="right"/>
      <protection locked="0"/>
    </xf>
    <xf numFmtId="0" fontId="36" fillId="0" borderId="0" xfId="32" applyFont="1" applyAlignment="1" applyProtection="1">
      <alignment horizontal="center"/>
      <protection locked="0"/>
    </xf>
    <xf numFmtId="4" fontId="36" fillId="0" borderId="0" xfId="32" applyNumberFormat="1" applyFont="1" applyAlignment="1" applyProtection="1">
      <alignment horizontal="center"/>
      <protection locked="0"/>
    </xf>
    <xf numFmtId="0" fontId="7" fillId="0" borderId="0" xfId="32" applyFont="1" applyAlignment="1" applyProtection="1">
      <alignment horizontal="center"/>
      <protection locked="0"/>
    </xf>
    <xf numFmtId="0" fontId="29" fillId="2" borderId="0" xfId="0" applyFont="1" applyFill="1" applyAlignment="1" applyProtection="1">
      <alignment horizontal="right"/>
      <protection locked="0"/>
    </xf>
    <xf numFmtId="4" fontId="37" fillId="0" borderId="1" xfId="34" applyNumberFormat="1" applyFont="1" applyBorder="1" applyAlignment="1" applyProtection="1">
      <alignment horizontal="center" vertical="center" wrapText="1"/>
      <protection locked="0"/>
    </xf>
    <xf numFmtId="167" fontId="37" fillId="0" borderId="1" xfId="34" applyNumberFormat="1" applyFont="1" applyBorder="1" applyAlignment="1" applyProtection="1">
      <alignment horizontal="center" vertical="center" wrapText="1"/>
      <protection locked="0"/>
    </xf>
    <xf numFmtId="0" fontId="37" fillId="0" borderId="1" xfId="34" applyFont="1" applyBorder="1" applyAlignment="1" applyProtection="1">
      <alignment horizontal="center" vertical="center" wrapText="1"/>
      <protection locked="0"/>
    </xf>
    <xf numFmtId="0" fontId="37" fillId="0" borderId="24" xfId="34" applyFont="1" applyBorder="1" applyAlignment="1" applyProtection="1">
      <alignment horizontal="center" vertical="center" wrapText="1"/>
      <protection locked="0"/>
    </xf>
    <xf numFmtId="167" fontId="11" fillId="0" borderId="1" xfId="34" applyNumberFormat="1" applyBorder="1" applyAlignment="1" applyProtection="1">
      <alignment horizontal="right"/>
      <protection locked="0"/>
    </xf>
    <xf numFmtId="167" fontId="11" fillId="2" borderId="1" xfId="34" applyNumberFormat="1" applyFill="1" applyBorder="1" applyAlignment="1" applyProtection="1">
      <alignment horizontal="right"/>
      <protection locked="0"/>
    </xf>
    <xf numFmtId="168" fontId="11" fillId="0" borderId="1" xfId="34" applyNumberFormat="1" applyBorder="1" applyAlignment="1" applyProtection="1">
      <alignment horizontal="right"/>
      <protection locked="0"/>
    </xf>
    <xf numFmtId="168" fontId="11" fillId="0" borderId="24" xfId="34" applyNumberFormat="1" applyBorder="1" applyAlignment="1" applyProtection="1">
      <alignment horizontal="right"/>
      <protection locked="0"/>
    </xf>
    <xf numFmtId="0" fontId="40" fillId="0" borderId="15" xfId="34" applyFont="1" applyBorder="1" applyAlignment="1" applyProtection="1">
      <alignment horizontal="center"/>
      <protection locked="0"/>
    </xf>
    <xf numFmtId="0" fontId="40" fillId="0" borderId="16" xfId="34" applyFont="1" applyBorder="1" applyAlignment="1" applyProtection="1">
      <alignment horizontal="left" vertical="top" wrapText="1"/>
      <protection locked="0"/>
    </xf>
    <xf numFmtId="167" fontId="40" fillId="3" borderId="16" xfId="34" applyNumberFormat="1" applyFont="1" applyFill="1" applyBorder="1" applyAlignment="1" applyProtection="1">
      <alignment horizontal="right"/>
      <protection locked="0"/>
    </xf>
    <xf numFmtId="168" fontId="40" fillId="0" borderId="16" xfId="34" applyNumberFormat="1" applyFont="1" applyBorder="1" applyAlignment="1" applyProtection="1">
      <alignment horizontal="right"/>
      <protection locked="0"/>
    </xf>
    <xf numFmtId="168" fontId="40" fillId="3" borderId="16" xfId="34" applyNumberFormat="1" applyFont="1" applyFill="1" applyBorder="1" applyAlignment="1" applyProtection="1">
      <alignment horizontal="right"/>
      <protection locked="0"/>
    </xf>
    <xf numFmtId="168" fontId="40" fillId="0" borderId="18" xfId="34" applyNumberFormat="1" applyFont="1" applyBorder="1" applyAlignment="1" applyProtection="1">
      <alignment horizontal="right"/>
      <protection locked="0"/>
    </xf>
    <xf numFmtId="0" fontId="40" fillId="0" borderId="0" xfId="34" applyFont="1" applyAlignment="1" applyProtection="1">
      <alignment horizontal="center"/>
      <protection locked="0"/>
    </xf>
    <xf numFmtId="0" fontId="40" fillId="0" borderId="0" xfId="34" applyFont="1" applyAlignment="1" applyProtection="1">
      <alignment horizontal="left" vertical="top" wrapText="1"/>
      <protection locked="0"/>
    </xf>
    <xf numFmtId="168" fontId="40" fillId="0" borderId="0" xfId="34" applyNumberFormat="1" applyFont="1" applyAlignment="1" applyProtection="1">
      <alignment horizontal="right"/>
      <protection locked="0"/>
    </xf>
    <xf numFmtId="0" fontId="39" fillId="2" borderId="0" xfId="32" applyFont="1" applyFill="1" applyProtection="1">
      <protection locked="0"/>
    </xf>
    <xf numFmtId="0" fontId="7" fillId="2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168" fontId="37" fillId="0" borderId="1" xfId="34" applyNumberFormat="1" applyFont="1" applyBorder="1" applyAlignment="1" applyProtection="1">
      <alignment horizontal="center" wrapText="1"/>
      <protection locked="0"/>
    </xf>
    <xf numFmtId="168" fontId="37" fillId="0" borderId="1" xfId="34" applyNumberFormat="1" applyFont="1" applyBorder="1" applyAlignment="1" applyProtection="1">
      <alignment horizontal="center" vertical="top" wrapText="1"/>
      <protection locked="0"/>
    </xf>
    <xf numFmtId="168" fontId="37" fillId="0" borderId="1" xfId="34" applyNumberFormat="1" applyFont="1" applyBorder="1" applyAlignment="1" applyProtection="1">
      <alignment horizontal="center" vertical="center" wrapText="1"/>
      <protection locked="0"/>
    </xf>
    <xf numFmtId="168" fontId="37" fillId="0" borderId="24" xfId="34" applyNumberFormat="1" applyFont="1" applyBorder="1" applyAlignment="1" applyProtection="1">
      <alignment horizontal="center" vertical="center" wrapText="1"/>
      <protection locked="0"/>
    </xf>
    <xf numFmtId="0" fontId="37" fillId="0" borderId="15" xfId="34" applyFont="1" applyBorder="1" applyAlignment="1" applyProtection="1">
      <alignment horizontal="center"/>
      <protection locked="0"/>
    </xf>
    <xf numFmtId="0" fontId="37" fillId="0" borderId="16" xfId="34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3" fillId="0" borderId="19" xfId="0" applyFont="1" applyBorder="1" applyAlignment="1">
      <alignment vertical="top" wrapText="1"/>
    </xf>
    <xf numFmtId="0" fontId="14" fillId="0" borderId="15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40" fillId="0" borderId="0" xfId="0" applyFont="1"/>
    <xf numFmtId="0" fontId="11" fillId="4" borderId="0" xfId="0" applyFont="1" applyFill="1" applyAlignment="1">
      <alignment horizontal="center"/>
    </xf>
    <xf numFmtId="169" fontId="19" fillId="0" borderId="0" xfId="0" applyNumberFormat="1" applyFont="1"/>
    <xf numFmtId="166" fontId="19" fillId="0" borderId="0" xfId="0" applyNumberFormat="1" applyFont="1"/>
    <xf numFmtId="166" fontId="19" fillId="0" borderId="0" xfId="0" applyNumberFormat="1" applyFont="1" applyAlignment="1">
      <alignment horizontal="left"/>
    </xf>
    <xf numFmtId="170" fontId="19" fillId="0" borderId="0" xfId="0" applyNumberFormat="1" applyFont="1"/>
    <xf numFmtId="0" fontId="19" fillId="0" borderId="0" xfId="0" applyFont="1" applyAlignment="1">
      <alignment horizontal="center"/>
    </xf>
    <xf numFmtId="0" fontId="41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44" fillId="0" borderId="2" xfId="0" applyFont="1" applyBorder="1"/>
    <xf numFmtId="0" fontId="29" fillId="0" borderId="0" xfId="32" applyFont="1" applyAlignment="1" applyProtection="1">
      <alignment horizontal="center"/>
      <protection locked="0"/>
    </xf>
    <xf numFmtId="0" fontId="29" fillId="0" borderId="0" xfId="32" applyFont="1" applyAlignment="1" applyProtection="1">
      <alignment horizontal="left"/>
      <protection locked="0"/>
    </xf>
    <xf numFmtId="0" fontId="13" fillId="5" borderId="0" xfId="0" applyFont="1" applyFill="1"/>
    <xf numFmtId="0" fontId="47" fillId="0" borderId="0" xfId="0" applyFont="1" applyAlignment="1">
      <alignment horizontal="left"/>
    </xf>
    <xf numFmtId="0" fontId="13" fillId="6" borderId="0" xfId="0" applyFont="1" applyFill="1" applyAlignment="1">
      <alignment horizontal="left"/>
    </xf>
    <xf numFmtId="0" fontId="13" fillId="7" borderId="0" xfId="0" applyFont="1" applyFill="1"/>
    <xf numFmtId="3" fontId="5" fillId="8" borderId="28" xfId="0" applyNumberFormat="1" applyFont="1" applyFill="1" applyBorder="1" applyProtection="1">
      <protection locked="0"/>
    </xf>
    <xf numFmtId="3" fontId="13" fillId="8" borderId="28" xfId="0" applyNumberFormat="1" applyFont="1" applyFill="1" applyBorder="1" applyProtection="1">
      <protection locked="0"/>
    </xf>
    <xf numFmtId="3" fontId="5" fillId="9" borderId="28" xfId="0" applyNumberFormat="1" applyFont="1" applyFill="1" applyBorder="1"/>
    <xf numFmtId="3" fontId="13" fillId="10" borderId="28" xfId="0" applyNumberFormat="1" applyFont="1" applyFill="1" applyBorder="1" applyProtection="1">
      <protection locked="0"/>
    </xf>
    <xf numFmtId="3" fontId="5" fillId="11" borderId="28" xfId="0" applyNumberFormat="1" applyFont="1" applyFill="1" applyBorder="1"/>
    <xf numFmtId="3" fontId="5" fillId="12" borderId="28" xfId="0" applyNumberFormat="1" applyFont="1" applyFill="1" applyBorder="1" applyProtection="1">
      <protection locked="0"/>
    </xf>
    <xf numFmtId="3" fontId="5" fillId="12" borderId="28" xfId="0" applyNumberFormat="1" applyFont="1" applyFill="1" applyBorder="1"/>
    <xf numFmtId="3" fontId="13" fillId="12" borderId="28" xfId="0" applyNumberFormat="1" applyFont="1" applyFill="1" applyBorder="1" applyProtection="1">
      <protection locked="0"/>
    </xf>
    <xf numFmtId="0" fontId="13" fillId="0" borderId="0" xfId="6" applyNumberFormat="1" applyFont="1" applyFill="1" applyBorder="1" applyAlignment="1" applyProtection="1"/>
    <xf numFmtId="0" fontId="14" fillId="0" borderId="0" xfId="6" applyNumberFormat="1" applyFont="1" applyFill="1" applyBorder="1" applyAlignment="1" applyProtection="1"/>
    <xf numFmtId="0" fontId="45" fillId="0" borderId="0" xfId="6" applyNumberFormat="1" applyFont="1" applyFill="1" applyBorder="1" applyAlignment="1" applyProtection="1"/>
    <xf numFmtId="0" fontId="17" fillId="0" borderId="0" xfId="6" applyNumberFormat="1" applyFont="1" applyFill="1" applyBorder="1" applyAlignment="1" applyProtection="1">
      <alignment horizontal="center"/>
    </xf>
    <xf numFmtId="0" fontId="33" fillId="0" borderId="0" xfId="6" applyNumberFormat="1" applyFont="1" applyFill="1" applyBorder="1" applyAlignment="1" applyProtection="1"/>
    <xf numFmtId="0" fontId="46" fillId="0" borderId="0" xfId="6" applyNumberFormat="1" applyFont="1" applyFill="1" applyBorder="1" applyAlignment="1" applyProtection="1"/>
    <xf numFmtId="0" fontId="48" fillId="0" borderId="0" xfId="0" applyFont="1"/>
    <xf numFmtId="0" fontId="49" fillId="0" borderId="0" xfId="6" applyNumberFormat="1" applyFont="1" applyFill="1" applyBorder="1" applyAlignment="1" applyProtection="1"/>
    <xf numFmtId="0" fontId="50" fillId="0" borderId="0" xfId="6" applyNumberFormat="1" applyFont="1" applyFill="1" applyBorder="1" applyAlignment="1" applyProtection="1"/>
    <xf numFmtId="0" fontId="51" fillId="0" borderId="0" xfId="0" applyFont="1"/>
    <xf numFmtId="0" fontId="47" fillId="0" borderId="0" xfId="0" applyFont="1"/>
    <xf numFmtId="0" fontId="50" fillId="0" borderId="0" xfId="6" applyFont="1" applyProtection="1"/>
    <xf numFmtId="0" fontId="52" fillId="0" borderId="0" xfId="6" applyNumberFormat="1" applyFont="1" applyFill="1" applyBorder="1" applyAlignment="1" applyProtection="1"/>
    <xf numFmtId="2" fontId="13" fillId="15" borderId="24" xfId="0" applyNumberFormat="1" applyFont="1" applyFill="1" applyBorder="1" applyAlignment="1">
      <alignment horizontal="center" vertical="top" wrapText="1"/>
    </xf>
    <xf numFmtId="2" fontId="14" fillId="15" borderId="18" xfId="0" applyNumberFormat="1" applyFont="1" applyFill="1" applyBorder="1" applyAlignment="1">
      <alignment horizontal="center" vertical="top" wrapText="1"/>
    </xf>
    <xf numFmtId="3" fontId="5" fillId="15" borderId="1" xfId="0" applyNumberFormat="1" applyFont="1" applyFill="1" applyBorder="1" applyAlignment="1">
      <alignment vertical="center"/>
    </xf>
    <xf numFmtId="3" fontId="5" fillId="15" borderId="24" xfId="0" applyNumberFormat="1" applyFont="1" applyFill="1" applyBorder="1" applyAlignment="1">
      <alignment vertical="center"/>
    </xf>
    <xf numFmtId="3" fontId="5" fillId="15" borderId="16" xfId="0" applyNumberFormat="1" applyFont="1" applyFill="1" applyBorder="1" applyAlignment="1">
      <alignment vertical="center"/>
    </xf>
    <xf numFmtId="3" fontId="5" fillId="15" borderId="18" xfId="0" applyNumberFormat="1" applyFont="1" applyFill="1" applyBorder="1" applyAlignment="1">
      <alignment vertical="center"/>
    </xf>
    <xf numFmtId="3" fontId="17" fillId="15" borderId="1" xfId="0" applyNumberFormat="1" applyFont="1" applyFill="1" applyBorder="1" applyAlignment="1">
      <alignment vertical="center"/>
    </xf>
    <xf numFmtId="3" fontId="17" fillId="15" borderId="24" xfId="0" applyNumberFormat="1" applyFont="1" applyFill="1" applyBorder="1" applyAlignment="1">
      <alignment vertical="center"/>
    </xf>
    <xf numFmtId="3" fontId="17" fillId="15" borderId="16" xfId="0" applyNumberFormat="1" applyFont="1" applyFill="1" applyBorder="1" applyAlignment="1">
      <alignment vertical="center"/>
    </xf>
    <xf numFmtId="3" fontId="17" fillId="15" borderId="18" xfId="0" applyNumberFormat="1" applyFont="1" applyFill="1" applyBorder="1" applyAlignment="1">
      <alignment vertical="center"/>
    </xf>
    <xf numFmtId="3" fontId="17" fillId="15" borderId="13" xfId="0" applyNumberFormat="1" applyFont="1" applyFill="1" applyBorder="1"/>
    <xf numFmtId="3" fontId="17" fillId="15" borderId="14" xfId="0" applyNumberFormat="1" applyFont="1" applyFill="1" applyBorder="1"/>
    <xf numFmtId="3" fontId="17" fillId="15" borderId="1" xfId="0" applyNumberFormat="1" applyFont="1" applyFill="1" applyBorder="1"/>
    <xf numFmtId="3" fontId="17" fillId="15" borderId="24" xfId="0" applyNumberFormat="1" applyFont="1" applyFill="1" applyBorder="1"/>
    <xf numFmtId="3" fontId="17" fillId="15" borderId="16" xfId="0" applyNumberFormat="1" applyFont="1" applyFill="1" applyBorder="1"/>
    <xf numFmtId="3" fontId="17" fillId="15" borderId="18" xfId="0" applyNumberFormat="1" applyFont="1" applyFill="1" applyBorder="1"/>
    <xf numFmtId="3" fontId="29" fillId="15" borderId="1" xfId="0" applyNumberFormat="1" applyFont="1" applyFill="1" applyBorder="1" applyAlignment="1">
      <alignment vertical="center"/>
    </xf>
    <xf numFmtId="3" fontId="29" fillId="15" borderId="24" xfId="0" applyNumberFormat="1" applyFont="1" applyFill="1" applyBorder="1" applyAlignment="1">
      <alignment vertical="center"/>
    </xf>
    <xf numFmtId="3" fontId="29" fillId="15" borderId="16" xfId="0" applyNumberFormat="1" applyFont="1" applyFill="1" applyBorder="1" applyAlignment="1">
      <alignment vertical="center"/>
    </xf>
    <xf numFmtId="3" fontId="29" fillId="15" borderId="18" xfId="0" applyNumberFormat="1" applyFont="1" applyFill="1" applyBorder="1" applyAlignment="1">
      <alignment vertical="center"/>
    </xf>
    <xf numFmtId="3" fontId="29" fillId="15" borderId="32" xfId="0" applyNumberFormat="1" applyFont="1" applyFill="1" applyBorder="1" applyAlignment="1">
      <alignment vertical="center"/>
    </xf>
    <xf numFmtId="3" fontId="29" fillId="15" borderId="29" xfId="0" applyNumberFormat="1" applyFont="1" applyFill="1" applyBorder="1" applyAlignment="1">
      <alignment vertical="center"/>
    </xf>
    <xf numFmtId="0" fontId="20" fillId="16" borderId="0" xfId="0" applyFont="1" applyFill="1" applyAlignment="1" applyProtection="1">
      <alignment horizontal="center"/>
      <protection locked="0"/>
    </xf>
    <xf numFmtId="0" fontId="53" fillId="0" borderId="0" xfId="0" applyFont="1" applyAlignment="1">
      <alignment horizontal="center"/>
    </xf>
    <xf numFmtId="0" fontId="54" fillId="0" borderId="0" xfId="6" applyNumberFormat="1" applyFont="1" applyFill="1" applyBorder="1" applyAlignment="1" applyProtection="1">
      <alignment horizontal="center"/>
    </xf>
    <xf numFmtId="0" fontId="54" fillId="0" borderId="0" xfId="0" applyFont="1" applyAlignment="1">
      <alignment horizontal="center"/>
    </xf>
    <xf numFmtId="0" fontId="50" fillId="0" borderId="0" xfId="6" applyNumberFormat="1" applyFont="1" applyFill="1" applyBorder="1" applyAlignment="1" applyProtection="1">
      <alignment horizontal="center"/>
    </xf>
    <xf numFmtId="0" fontId="55" fillId="0" borderId="0" xfId="0" applyFont="1" applyAlignment="1" applyProtection="1">
      <alignment horizontal="center"/>
      <protection locked="0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vertical="center"/>
    </xf>
    <xf numFmtId="3" fontId="7" fillId="13" borderId="24" xfId="0" applyNumberFormat="1" applyFont="1" applyFill="1" applyBorder="1" applyAlignment="1">
      <alignment vertical="center"/>
    </xf>
    <xf numFmtId="3" fontId="7" fillId="13" borderId="32" xfId="0" applyNumberFormat="1" applyFont="1" applyFill="1" applyBorder="1" applyAlignment="1">
      <alignment vertical="center"/>
    </xf>
    <xf numFmtId="3" fontId="7" fillId="13" borderId="29" xfId="0" applyNumberFormat="1" applyFont="1" applyFill="1" applyBorder="1" applyAlignment="1">
      <alignment vertical="center"/>
    </xf>
    <xf numFmtId="3" fontId="7" fillId="13" borderId="13" xfId="0" applyNumberFormat="1" applyFont="1" applyFill="1" applyBorder="1" applyAlignment="1">
      <alignment vertical="center"/>
    </xf>
    <xf numFmtId="3" fontId="7" fillId="13" borderId="14" xfId="0" applyNumberFormat="1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3" fontId="5" fillId="13" borderId="1" xfId="0" applyNumberFormat="1" applyFont="1" applyFill="1" applyBorder="1"/>
    <xf numFmtId="3" fontId="5" fillId="13" borderId="24" xfId="0" applyNumberFormat="1" applyFont="1" applyFill="1" applyBorder="1"/>
    <xf numFmtId="3" fontId="5" fillId="13" borderId="33" xfId="0" applyNumberFormat="1" applyFont="1" applyFill="1" applyBorder="1" applyAlignment="1">
      <alignment vertical="center"/>
    </xf>
    <xf numFmtId="3" fontId="5" fillId="13" borderId="34" xfId="0" applyNumberFormat="1" applyFont="1" applyFill="1" applyBorder="1" applyAlignment="1">
      <alignment vertical="center"/>
    </xf>
    <xf numFmtId="3" fontId="5" fillId="13" borderId="1" xfId="0" applyNumberFormat="1" applyFont="1" applyFill="1" applyBorder="1" applyAlignment="1">
      <alignment vertical="center"/>
    </xf>
    <xf numFmtId="3" fontId="5" fillId="13" borderId="24" xfId="0" applyNumberFormat="1" applyFont="1" applyFill="1" applyBorder="1" applyAlignment="1">
      <alignment vertical="center"/>
    </xf>
    <xf numFmtId="3" fontId="5" fillId="13" borderId="13" xfId="0" applyNumberFormat="1" applyFont="1" applyFill="1" applyBorder="1" applyAlignment="1">
      <alignment vertical="center"/>
    </xf>
    <xf numFmtId="3" fontId="5" fillId="13" borderId="14" xfId="0" applyNumberFormat="1" applyFont="1" applyFill="1" applyBorder="1" applyAlignment="1">
      <alignment vertical="center"/>
    </xf>
    <xf numFmtId="167" fontId="11" fillId="17" borderId="1" xfId="34" applyNumberFormat="1" applyFill="1" applyBorder="1" applyAlignment="1" applyProtection="1">
      <alignment horizontal="right"/>
      <protection locked="0"/>
    </xf>
    <xf numFmtId="4" fontId="37" fillId="0" borderId="0" xfId="34" applyNumberFormat="1" applyFont="1" applyAlignment="1" applyProtection="1">
      <alignment horizontal="center"/>
      <protection locked="0"/>
    </xf>
    <xf numFmtId="167" fontId="37" fillId="0" borderId="0" xfId="34" applyNumberFormat="1" applyFont="1" applyAlignment="1" applyProtection="1">
      <alignment horizontal="center"/>
      <protection locked="0"/>
    </xf>
    <xf numFmtId="0" fontId="37" fillId="0" borderId="0" xfId="34" applyFont="1" applyAlignment="1" applyProtection="1">
      <alignment horizontal="center"/>
      <protection locked="0"/>
    </xf>
    <xf numFmtId="0" fontId="11" fillId="14" borderId="19" xfId="34" applyFill="1" applyBorder="1" applyAlignment="1" applyProtection="1">
      <alignment horizontal="center"/>
      <protection locked="0"/>
    </xf>
    <xf numFmtId="0" fontId="11" fillId="14" borderId="1" xfId="34" applyFill="1" applyBorder="1" applyAlignment="1" applyProtection="1">
      <alignment horizontal="left" vertical="top" wrapText="1"/>
      <protection locked="0"/>
    </xf>
    <xf numFmtId="168" fontId="11" fillId="14" borderId="1" xfId="34" applyNumberFormat="1" applyFill="1" applyBorder="1" applyAlignment="1" applyProtection="1">
      <alignment horizontal="center"/>
      <protection locked="0"/>
    </xf>
    <xf numFmtId="168" fontId="11" fillId="14" borderId="1" xfId="34" applyNumberFormat="1" applyFill="1" applyBorder="1" applyAlignment="1" applyProtection="1">
      <alignment horizontal="right"/>
      <protection locked="0"/>
    </xf>
    <xf numFmtId="0" fontId="11" fillId="18" borderId="19" xfId="34" applyFill="1" applyBorder="1" applyAlignment="1" applyProtection="1">
      <alignment horizontal="center"/>
      <protection locked="0"/>
    </xf>
    <xf numFmtId="0" fontId="11" fillId="18" borderId="1" xfId="34" applyFill="1" applyBorder="1" applyAlignment="1" applyProtection="1">
      <alignment horizontal="left" vertical="top" wrapText="1"/>
      <protection locked="0"/>
    </xf>
    <xf numFmtId="168" fontId="11" fillId="18" borderId="1" xfId="34" applyNumberFormat="1" applyFill="1" applyBorder="1" applyAlignment="1" applyProtection="1">
      <alignment horizontal="center"/>
      <protection locked="0"/>
    </xf>
    <xf numFmtId="168" fontId="11" fillId="18" borderId="1" xfId="34" applyNumberFormat="1" applyFill="1" applyBorder="1" applyAlignment="1" applyProtection="1">
      <alignment horizontal="right"/>
      <protection locked="0"/>
    </xf>
    <xf numFmtId="0" fontId="57" fillId="0" borderId="0" xfId="35" applyFont="1" applyProtection="1">
      <protection locked="0" hidden="1"/>
    </xf>
    <xf numFmtId="0" fontId="58" fillId="0" borderId="4" xfId="34" applyFont="1" applyBorder="1" applyAlignment="1" applyProtection="1">
      <alignment horizontal="center"/>
      <protection hidden="1"/>
    </xf>
    <xf numFmtId="168" fontId="58" fillId="0" borderId="4" xfId="34" applyNumberFormat="1" applyFont="1" applyBorder="1" applyAlignment="1" applyProtection="1">
      <alignment horizontal="right"/>
      <protection hidden="1"/>
    </xf>
    <xf numFmtId="4" fontId="0" fillId="0" borderId="0" xfId="0" applyNumberFormat="1" applyProtection="1">
      <protection locked="0"/>
    </xf>
    <xf numFmtId="3" fontId="13" fillId="16" borderId="1" xfId="0" applyNumberFormat="1" applyFont="1" applyFill="1" applyBorder="1" applyAlignment="1" applyProtection="1">
      <alignment vertical="top" wrapText="1"/>
      <protection locked="0"/>
    </xf>
    <xf numFmtId="3" fontId="14" fillId="15" borderId="16" xfId="0" applyNumberFormat="1" applyFont="1" applyFill="1" applyBorder="1"/>
    <xf numFmtId="0" fontId="5" fillId="0" borderId="0" xfId="0" pivotButton="1" applyFont="1"/>
    <xf numFmtId="0" fontId="59" fillId="19" borderId="0" xfId="0" applyFont="1" applyFill="1"/>
    <xf numFmtId="3" fontId="59" fillId="19" borderId="56" xfId="0" applyNumberFormat="1" applyFont="1" applyFill="1" applyBorder="1"/>
    <xf numFmtId="0" fontId="60" fillId="0" borderId="0" xfId="0" applyFont="1" applyAlignment="1">
      <alignment horizontal="center"/>
    </xf>
    <xf numFmtId="0" fontId="62" fillId="0" borderId="0" xfId="0" applyFont="1"/>
    <xf numFmtId="0" fontId="63" fillId="0" borderId="0" xfId="0" applyFont="1"/>
    <xf numFmtId="0" fontId="62" fillId="0" borderId="0" xfId="0" applyFont="1" applyAlignment="1">
      <alignment horizontal="center"/>
    </xf>
    <xf numFmtId="0" fontId="61" fillId="0" borderId="0" xfId="0" applyFont="1"/>
    <xf numFmtId="0" fontId="60" fillId="0" borderId="0" xfId="0" applyFont="1" applyAlignment="1">
      <alignment horizontal="left"/>
    </xf>
    <xf numFmtId="0" fontId="63" fillId="0" borderId="0" xfId="0" applyFont="1" applyAlignment="1">
      <alignment horizontal="left" vertical="center"/>
    </xf>
    <xf numFmtId="0" fontId="62" fillId="0" borderId="0" xfId="0" applyFont="1" applyAlignment="1">
      <alignment horizontal="left"/>
    </xf>
    <xf numFmtId="0" fontId="64" fillId="0" borderId="0" xfId="0" applyFont="1"/>
    <xf numFmtId="0" fontId="62" fillId="0" borderId="0" xfId="0" applyFont="1" applyAlignment="1">
      <alignment horizontal="right"/>
    </xf>
    <xf numFmtId="0" fontId="71" fillId="0" borderId="0" xfId="6" applyNumberFormat="1" applyFont="1" applyFill="1" applyBorder="1" applyAlignment="1" applyProtection="1"/>
    <xf numFmtId="0" fontId="65" fillId="0" borderId="0" xfId="0" applyFont="1"/>
    <xf numFmtId="0" fontId="64" fillId="0" borderId="0" xfId="0" applyFont="1" applyAlignment="1">
      <alignment horizontal="center"/>
    </xf>
    <xf numFmtId="0" fontId="62" fillId="0" borderId="11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/>
    </xf>
    <xf numFmtId="3" fontId="63" fillId="0" borderId="24" xfId="0" applyNumberFormat="1" applyFont="1" applyBorder="1" applyAlignment="1">
      <alignment vertical="center"/>
    </xf>
    <xf numFmtId="3" fontId="62" fillId="15" borderId="1" xfId="0" applyNumberFormat="1" applyFont="1" applyFill="1" applyBorder="1" applyAlignment="1">
      <alignment vertical="center"/>
    </xf>
    <xf numFmtId="3" fontId="62" fillId="15" borderId="24" xfId="0" applyNumberFormat="1" applyFont="1" applyFill="1" applyBorder="1" applyAlignment="1">
      <alignment vertical="center"/>
    </xf>
    <xf numFmtId="0" fontId="63" fillId="0" borderId="54" xfId="0" applyFont="1" applyBorder="1" applyAlignment="1">
      <alignment horizontal="center" vertical="center"/>
    </xf>
    <xf numFmtId="3" fontId="62" fillId="15" borderId="16" xfId="0" applyNumberFormat="1" applyFont="1" applyFill="1" applyBorder="1" applyAlignment="1">
      <alignment vertical="center"/>
    </xf>
    <xf numFmtId="3" fontId="62" fillId="15" borderId="18" xfId="0" applyNumberFormat="1" applyFont="1" applyFill="1" applyBorder="1" applyAlignment="1">
      <alignment vertical="center"/>
    </xf>
    <xf numFmtId="0" fontId="72" fillId="0" borderId="0" xfId="0" applyFont="1" applyAlignment="1">
      <alignment horizontal="center"/>
    </xf>
    <xf numFmtId="49" fontId="73" fillId="0" borderId="0" xfId="0" applyNumberFormat="1" applyFont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8" xfId="0" applyFont="1" applyBorder="1" applyAlignment="1">
      <alignment horizontal="center"/>
    </xf>
    <xf numFmtId="0" fontId="63" fillId="0" borderId="11" xfId="0" applyFont="1" applyBorder="1" applyAlignment="1">
      <alignment horizontal="center" vertical="center" wrapText="1"/>
    </xf>
    <xf numFmtId="3" fontId="63" fillId="13" borderId="13" xfId="0" applyNumberFormat="1" applyFont="1" applyFill="1" applyBorder="1" applyAlignment="1">
      <alignment vertical="center"/>
    </xf>
    <xf numFmtId="3" fontId="63" fillId="13" borderId="14" xfId="0" applyNumberFormat="1" applyFont="1" applyFill="1" applyBorder="1" applyAlignment="1">
      <alignment vertical="center"/>
    </xf>
    <xf numFmtId="0" fontId="63" fillId="0" borderId="19" xfId="0" applyFont="1" applyBorder="1" applyAlignment="1">
      <alignment horizontal="center"/>
    </xf>
    <xf numFmtId="3" fontId="63" fillId="13" borderId="32" xfId="0" applyNumberFormat="1" applyFont="1" applyFill="1" applyBorder="1" applyAlignment="1">
      <alignment vertical="center"/>
    </xf>
    <xf numFmtId="3" fontId="63" fillId="13" borderId="29" xfId="0" applyNumberFormat="1" applyFont="1" applyFill="1" applyBorder="1" applyAlignment="1">
      <alignment vertical="center"/>
    </xf>
    <xf numFmtId="0" fontId="64" fillId="0" borderId="0" xfId="0" applyFont="1" applyAlignment="1">
      <alignment vertical="center"/>
    </xf>
    <xf numFmtId="3" fontId="63" fillId="13" borderId="1" xfId="0" applyNumberFormat="1" applyFont="1" applyFill="1" applyBorder="1" applyAlignment="1">
      <alignment vertical="center"/>
    </xf>
    <xf numFmtId="3" fontId="63" fillId="13" borderId="24" xfId="0" applyNumberFormat="1" applyFont="1" applyFill="1" applyBorder="1" applyAlignment="1">
      <alignment vertical="center"/>
    </xf>
    <xf numFmtId="3" fontId="64" fillId="0" borderId="0" xfId="0" applyNumberFormat="1" applyFont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/>
    </xf>
    <xf numFmtId="3" fontId="63" fillId="0" borderId="0" xfId="0" applyNumberFormat="1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horizontal="left"/>
    </xf>
    <xf numFmtId="0" fontId="74" fillId="0" borderId="0" xfId="0" applyFont="1"/>
    <xf numFmtId="0" fontId="6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3" fillId="0" borderId="41" xfId="0" applyFont="1" applyBorder="1" applyAlignment="1">
      <alignment horizontal="center" vertical="center" wrapText="1"/>
    </xf>
    <xf numFmtId="0" fontId="63" fillId="0" borderId="25" xfId="0" applyFont="1" applyBorder="1" applyAlignment="1">
      <alignment horizontal="center" vertical="center"/>
    </xf>
    <xf numFmtId="0" fontId="63" fillId="0" borderId="26" xfId="0" applyFont="1" applyBorder="1" applyAlignment="1">
      <alignment horizontal="center" vertical="center"/>
    </xf>
    <xf numFmtId="3" fontId="62" fillId="0" borderId="0" xfId="0" applyNumberFormat="1" applyFont="1" applyAlignment="1">
      <alignment horizontal="right" vertical="center"/>
    </xf>
    <xf numFmtId="3" fontId="62" fillId="0" borderId="0" xfId="0" applyNumberFormat="1" applyFont="1" applyAlignment="1">
      <alignment horizontal="right" vertical="center" wrapText="1"/>
    </xf>
    <xf numFmtId="0" fontId="62" fillId="0" borderId="37" xfId="0" applyFont="1" applyBorder="1" applyAlignment="1">
      <alignment vertical="center"/>
    </xf>
    <xf numFmtId="0" fontId="0" fillId="0" borderId="30" xfId="0" applyBorder="1" applyAlignment="1">
      <alignment vertical="center" wrapText="1"/>
    </xf>
    <xf numFmtId="0" fontId="63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64" fillId="2" borderId="0" xfId="0" applyFont="1" applyFill="1" applyAlignment="1">
      <alignment horizontal="left"/>
    </xf>
    <xf numFmtId="0" fontId="63" fillId="0" borderId="17" xfId="0" applyFont="1" applyBorder="1" applyAlignment="1">
      <alignment horizontal="center"/>
    </xf>
    <xf numFmtId="0" fontId="63" fillId="0" borderId="47" xfId="0" applyFont="1" applyBorder="1" applyAlignment="1">
      <alignment horizontal="center" vertical="center"/>
    </xf>
    <xf numFmtId="3" fontId="70" fillId="15" borderId="13" xfId="0" applyNumberFormat="1" applyFont="1" applyFill="1" applyBorder="1" applyAlignment="1">
      <alignment vertical="center"/>
    </xf>
    <xf numFmtId="3" fontId="62" fillId="15" borderId="12" xfId="0" applyNumberFormat="1" applyFont="1" applyFill="1" applyBorder="1" applyAlignment="1">
      <alignment vertical="center"/>
    </xf>
    <xf numFmtId="3" fontId="62" fillId="15" borderId="14" xfId="0" applyNumberFormat="1" applyFont="1" applyFill="1" applyBorder="1" applyAlignment="1">
      <alignment vertical="center"/>
    </xf>
    <xf numFmtId="3" fontId="63" fillId="15" borderId="1" xfId="0" applyNumberFormat="1" applyFont="1" applyFill="1" applyBorder="1" applyAlignment="1">
      <alignment vertical="center"/>
    </xf>
    <xf numFmtId="3" fontId="63" fillId="15" borderId="24" xfId="0" applyNumberFormat="1" applyFont="1" applyFill="1" applyBorder="1" applyAlignment="1">
      <alignment vertical="center"/>
    </xf>
    <xf numFmtId="3" fontId="63" fillId="13" borderId="39" xfId="0" applyNumberFormat="1" applyFont="1" applyFill="1" applyBorder="1" applyAlignment="1">
      <alignment vertical="center"/>
    </xf>
    <xf numFmtId="3" fontId="63" fillId="13" borderId="1" xfId="0" applyNumberFormat="1" applyFont="1" applyFill="1" applyBorder="1"/>
    <xf numFmtId="3" fontId="63" fillId="13" borderId="36" xfId="0" applyNumberFormat="1" applyFont="1" applyFill="1" applyBorder="1"/>
    <xf numFmtId="3" fontId="63" fillId="13" borderId="52" xfId="0" applyNumberFormat="1" applyFont="1" applyFill="1" applyBorder="1" applyAlignment="1">
      <alignment vertical="center"/>
    </xf>
    <xf numFmtId="0" fontId="63" fillId="0" borderId="27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3" fontId="63" fillId="13" borderId="35" xfId="0" applyNumberFormat="1" applyFont="1" applyFill="1" applyBorder="1" applyAlignment="1">
      <alignment vertical="center"/>
    </xf>
    <xf numFmtId="0" fontId="63" fillId="0" borderId="41" xfId="0" applyFont="1" applyBorder="1" applyAlignment="1">
      <alignment horizontal="center" vertical="center"/>
    </xf>
    <xf numFmtId="3" fontId="62" fillId="15" borderId="13" xfId="0" applyNumberFormat="1" applyFont="1" applyFill="1" applyBorder="1" applyAlignment="1">
      <alignment vertical="center"/>
    </xf>
    <xf numFmtId="3" fontId="62" fillId="15" borderId="38" xfId="0" applyNumberFormat="1" applyFont="1" applyFill="1" applyBorder="1" applyAlignment="1">
      <alignment vertical="center"/>
    </xf>
    <xf numFmtId="3" fontId="62" fillId="15" borderId="32" xfId="0" applyNumberFormat="1" applyFont="1" applyFill="1" applyBorder="1" applyAlignment="1">
      <alignment vertical="center"/>
    </xf>
    <xf numFmtId="3" fontId="62" fillId="15" borderId="29" xfId="0" applyNumberFormat="1" applyFont="1" applyFill="1" applyBorder="1" applyAlignment="1">
      <alignment vertical="center"/>
    </xf>
    <xf numFmtId="3" fontId="63" fillId="13" borderId="38" xfId="0" applyNumberFormat="1" applyFont="1" applyFill="1" applyBorder="1" applyAlignment="1">
      <alignment vertical="center"/>
    </xf>
    <xf numFmtId="3" fontId="63" fillId="13" borderId="51" xfId="0" applyNumberFormat="1" applyFont="1" applyFill="1" applyBorder="1" applyAlignment="1">
      <alignment vertical="center"/>
    </xf>
    <xf numFmtId="3" fontId="63" fillId="13" borderId="37" xfId="0" applyNumberFormat="1" applyFont="1" applyFill="1" applyBorder="1" applyAlignment="1">
      <alignment vertical="center"/>
    </xf>
    <xf numFmtId="3" fontId="63" fillId="13" borderId="49" xfId="0" applyNumberFormat="1" applyFont="1" applyFill="1" applyBorder="1" applyAlignment="1">
      <alignment vertical="center"/>
    </xf>
    <xf numFmtId="3" fontId="63" fillId="13" borderId="36" xfId="0" applyNumberFormat="1" applyFont="1" applyFill="1" applyBorder="1" applyAlignment="1">
      <alignment vertical="center"/>
    </xf>
    <xf numFmtId="0" fontId="63" fillId="0" borderId="15" xfId="0" applyFont="1" applyBorder="1" applyAlignment="1">
      <alignment horizontal="center" vertical="center"/>
    </xf>
    <xf numFmtId="3" fontId="62" fillId="15" borderId="17" xfId="0" applyNumberFormat="1" applyFont="1" applyFill="1" applyBorder="1" applyAlignment="1">
      <alignment vertical="center"/>
    </xf>
    <xf numFmtId="3" fontId="62" fillId="15" borderId="53" xfId="0" applyNumberFormat="1" applyFont="1" applyFill="1" applyBorder="1" applyAlignment="1">
      <alignment vertical="center"/>
    </xf>
    <xf numFmtId="3" fontId="63" fillId="0" borderId="35" xfId="0" applyNumberFormat="1" applyFont="1" applyBorder="1" applyAlignment="1">
      <alignment vertical="center"/>
    </xf>
    <xf numFmtId="3" fontId="64" fillId="0" borderId="0" xfId="0" applyNumberFormat="1" applyFont="1"/>
    <xf numFmtId="3" fontId="62" fillId="15" borderId="35" xfId="0" applyNumberFormat="1" applyFont="1" applyFill="1" applyBorder="1" applyAlignment="1">
      <alignment vertical="center"/>
    </xf>
    <xf numFmtId="3" fontId="62" fillId="15" borderId="35" xfId="0" applyNumberFormat="1" applyFont="1" applyFill="1" applyBorder="1" applyAlignment="1">
      <alignment vertical="center" wrapText="1"/>
    </xf>
    <xf numFmtId="3" fontId="62" fillId="15" borderId="35" xfId="0" applyNumberFormat="1" applyFont="1" applyFill="1" applyBorder="1"/>
    <xf numFmtId="3" fontId="62" fillId="15" borderId="24" xfId="0" applyNumberFormat="1" applyFont="1" applyFill="1" applyBorder="1"/>
    <xf numFmtId="3" fontId="63" fillId="13" borderId="43" xfId="0" applyNumberFormat="1" applyFont="1" applyFill="1" applyBorder="1" applyAlignment="1">
      <alignment vertical="center"/>
    </xf>
    <xf numFmtId="3" fontId="63" fillId="13" borderId="16" xfId="0" applyNumberFormat="1" applyFont="1" applyFill="1" applyBorder="1" applyAlignment="1">
      <alignment vertical="center"/>
    </xf>
    <xf numFmtId="3" fontId="63" fillId="13" borderId="18" xfId="0" applyNumberFormat="1" applyFont="1" applyFill="1" applyBorder="1" applyAlignment="1">
      <alignment vertical="center"/>
    </xf>
    <xf numFmtId="0" fontId="6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0" fontId="63" fillId="0" borderId="40" xfId="0" applyFont="1" applyBorder="1" applyAlignment="1">
      <alignment vertical="center" wrapText="1"/>
    </xf>
    <xf numFmtId="0" fontId="64" fillId="0" borderId="51" xfId="0" applyFont="1" applyBorder="1" applyAlignment="1">
      <alignment vertical="center" wrapText="1"/>
    </xf>
    <xf numFmtId="0" fontId="67" fillId="0" borderId="35" xfId="0" applyFont="1" applyBorder="1" applyAlignment="1">
      <alignment vertical="center" wrapText="1"/>
    </xf>
    <xf numFmtId="0" fontId="64" fillId="0" borderId="30" xfId="0" applyFont="1" applyBorder="1" applyAlignment="1">
      <alignment vertical="center" wrapText="1"/>
    </xf>
    <xf numFmtId="0" fontId="64" fillId="0" borderId="36" xfId="0" applyFont="1" applyBorder="1" applyAlignment="1">
      <alignment vertical="center" wrapText="1"/>
    </xf>
    <xf numFmtId="3" fontId="62" fillId="15" borderId="45" xfId="0" applyNumberFormat="1" applyFont="1" applyFill="1" applyBorder="1" applyAlignment="1">
      <alignment vertical="center"/>
    </xf>
    <xf numFmtId="3" fontId="62" fillId="15" borderId="48" xfId="0" applyNumberFormat="1" applyFont="1" applyFill="1" applyBorder="1" applyAlignment="1">
      <alignment vertical="center"/>
    </xf>
    <xf numFmtId="3" fontId="75" fillId="0" borderId="0" xfId="0" applyNumberFormat="1" applyFont="1"/>
    <xf numFmtId="3" fontId="0" fillId="0" borderId="0" xfId="0" applyNumberFormat="1"/>
    <xf numFmtId="0" fontId="76" fillId="0" borderId="0" xfId="0" applyFont="1"/>
    <xf numFmtId="3" fontId="76" fillId="0" borderId="0" xfId="0" applyNumberFormat="1" applyFont="1"/>
    <xf numFmtId="3" fontId="0" fillId="0" borderId="0" xfId="0" applyNumberFormat="1" applyProtection="1">
      <protection locked="0"/>
    </xf>
    <xf numFmtId="0" fontId="76" fillId="0" borderId="0" xfId="0" applyFont="1" applyProtection="1">
      <protection locked="0"/>
    </xf>
    <xf numFmtId="3" fontId="76" fillId="0" borderId="0" xfId="0" applyNumberFormat="1" applyFont="1" applyProtection="1">
      <protection locked="0"/>
    </xf>
    <xf numFmtId="172" fontId="77" fillId="0" borderId="0" xfId="0" applyNumberFormat="1" applyFont="1" applyAlignment="1">
      <alignment horizontal="center" wrapText="1"/>
    </xf>
    <xf numFmtId="172" fontId="77" fillId="21" borderId="0" xfId="0" applyNumberFormat="1" applyFont="1" applyFill="1" applyAlignment="1">
      <alignment horizontal="center" wrapText="1"/>
    </xf>
    <xf numFmtId="0" fontId="77" fillId="0" borderId="0" xfId="0" applyFont="1" applyAlignment="1">
      <alignment wrapText="1"/>
    </xf>
    <xf numFmtId="172" fontId="78" fillId="0" borderId="0" xfId="0" applyNumberFormat="1" applyFont="1" applyAlignment="1">
      <alignment horizontal="center" wrapText="1"/>
    </xf>
    <xf numFmtId="172" fontId="79" fillId="0" borderId="0" xfId="0" applyNumberFormat="1" applyFont="1" applyAlignment="1">
      <alignment horizontal="center" wrapText="1"/>
    </xf>
    <xf numFmtId="172" fontId="77" fillId="0" borderId="57" xfId="0" applyNumberFormat="1" applyFont="1" applyBorder="1" applyAlignment="1">
      <alignment horizontal="center" wrapText="1"/>
    </xf>
    <xf numFmtId="172" fontId="77" fillId="21" borderId="57" xfId="0" applyNumberFormat="1" applyFont="1" applyFill="1" applyBorder="1" applyAlignment="1">
      <alignment horizontal="center" wrapText="1"/>
    </xf>
    <xf numFmtId="172" fontId="78" fillId="0" borderId="57" xfId="0" applyNumberFormat="1" applyFont="1" applyBorder="1" applyAlignment="1">
      <alignment horizontal="center" wrapText="1"/>
    </xf>
    <xf numFmtId="172" fontId="79" fillId="0" borderId="57" xfId="0" applyNumberFormat="1" applyFont="1" applyBorder="1" applyAlignment="1">
      <alignment horizontal="center" wrapText="1"/>
    </xf>
    <xf numFmtId="172" fontId="77" fillId="0" borderId="0" xfId="0" applyNumberFormat="1" applyFont="1" applyAlignment="1">
      <alignment wrapText="1"/>
    </xf>
    <xf numFmtId="172" fontId="77" fillId="0" borderId="0" xfId="0" applyNumberFormat="1" applyFont="1"/>
    <xf numFmtId="172" fontId="77" fillId="0" borderId="0" xfId="0" applyNumberFormat="1" applyFont="1" applyAlignment="1">
      <alignment horizontal="right" wrapText="1"/>
    </xf>
    <xf numFmtId="172" fontId="78" fillId="0" borderId="0" xfId="0" applyNumberFormat="1" applyFont="1" applyAlignment="1">
      <alignment wrapText="1"/>
    </xf>
    <xf numFmtId="172" fontId="79" fillId="0" borderId="0" xfId="0" applyNumberFormat="1" applyFont="1" applyAlignment="1">
      <alignment wrapText="1"/>
    </xf>
    <xf numFmtId="172" fontId="77" fillId="0" borderId="0" xfId="0" applyNumberFormat="1" applyFont="1" applyAlignment="1">
      <alignment horizontal="right"/>
    </xf>
    <xf numFmtId="172" fontId="78" fillId="0" borderId="57" xfId="0" applyNumberFormat="1" applyFont="1" applyBorder="1"/>
    <xf numFmtId="172" fontId="79" fillId="0" borderId="57" xfId="0" applyNumberFormat="1" applyFont="1" applyBorder="1"/>
    <xf numFmtId="172" fontId="78" fillId="0" borderId="0" xfId="0" applyNumberFormat="1" applyFont="1"/>
    <xf numFmtId="172" fontId="79" fillId="0" borderId="0" xfId="0" applyNumberFormat="1" applyFont="1"/>
    <xf numFmtId="172" fontId="80" fillId="0" borderId="0" xfId="0" applyNumberFormat="1" applyFont="1"/>
    <xf numFmtId="172" fontId="81" fillId="0" borderId="0" xfId="0" applyNumberFormat="1" applyFont="1"/>
    <xf numFmtId="172" fontId="82" fillId="0" borderId="0" xfId="0" applyNumberFormat="1" applyFont="1"/>
    <xf numFmtId="172" fontId="77" fillId="20" borderId="0" xfId="0" applyNumberFormat="1" applyFont="1" applyFill="1"/>
    <xf numFmtId="172" fontId="77" fillId="22" borderId="0" xfId="0" applyNumberFormat="1" applyFont="1" applyFill="1"/>
    <xf numFmtId="172" fontId="77" fillId="23" borderId="0" xfId="0" applyNumberFormat="1" applyFont="1" applyFill="1"/>
    <xf numFmtId="172" fontId="77" fillId="24" borderId="0" xfId="0" applyNumberFormat="1" applyFont="1" applyFill="1"/>
    <xf numFmtId="172" fontId="77" fillId="25" borderId="0" xfId="0" applyNumberFormat="1" applyFont="1" applyFill="1"/>
    <xf numFmtId="172" fontId="83" fillId="0" borderId="0" xfId="0" applyNumberFormat="1" applyFont="1"/>
    <xf numFmtId="172" fontId="84" fillId="0" borderId="0" xfId="0" applyNumberFormat="1" applyFont="1"/>
    <xf numFmtId="172" fontId="77" fillId="26" borderId="0" xfId="0" applyNumberFormat="1" applyFont="1" applyFill="1"/>
    <xf numFmtId="172" fontId="77" fillId="21" borderId="0" xfId="0" applyNumberFormat="1" applyFont="1" applyFill="1"/>
    <xf numFmtId="172" fontId="78" fillId="0" borderId="0" xfId="0" applyNumberFormat="1" applyFont="1" applyAlignment="1">
      <alignment horizontal="left"/>
    </xf>
    <xf numFmtId="172" fontId="78" fillId="0" borderId="0" xfId="0" applyNumberFormat="1" applyFont="1" applyAlignment="1">
      <alignment horizontal="right"/>
    </xf>
    <xf numFmtId="172" fontId="81" fillId="0" borderId="0" xfId="0" applyNumberFormat="1" applyFont="1" applyAlignment="1">
      <alignment horizontal="center"/>
    </xf>
    <xf numFmtId="172" fontId="8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/>
    <xf numFmtId="3" fontId="85" fillId="0" borderId="0" xfId="0" applyNumberFormat="1" applyFont="1"/>
    <xf numFmtId="0" fontId="86" fillId="0" borderId="0" xfId="0" applyFont="1" applyAlignment="1">
      <alignment horizontal="left"/>
    </xf>
    <xf numFmtId="0" fontId="87" fillId="0" borderId="0" xfId="0" applyFont="1"/>
    <xf numFmtId="3" fontId="87" fillId="0" borderId="0" xfId="0" applyNumberFormat="1" applyFont="1"/>
    <xf numFmtId="172" fontId="88" fillId="0" borderId="0" xfId="0" applyNumberFormat="1" applyFont="1"/>
    <xf numFmtId="3" fontId="87" fillId="26" borderId="0" xfId="0" applyNumberFormat="1" applyFont="1" applyFill="1"/>
    <xf numFmtId="3" fontId="87" fillId="20" borderId="0" xfId="0" applyNumberFormat="1" applyFont="1" applyFill="1"/>
    <xf numFmtId="3" fontId="87" fillId="25" borderId="0" xfId="0" applyNumberFormat="1" applyFont="1" applyFill="1"/>
    <xf numFmtId="0" fontId="86" fillId="0" borderId="0" xfId="0" applyFont="1"/>
    <xf numFmtId="3" fontId="87" fillId="24" borderId="0" xfId="0" applyNumberFormat="1" applyFont="1" applyFill="1"/>
    <xf numFmtId="3" fontId="87" fillId="22" borderId="0" xfId="0" applyNumberFormat="1" applyFont="1" applyFill="1"/>
    <xf numFmtId="3" fontId="87" fillId="23" borderId="0" xfId="0" applyNumberFormat="1" applyFont="1" applyFill="1"/>
    <xf numFmtId="168" fontId="89" fillId="0" borderId="0" xfId="0" applyNumberFormat="1" applyFont="1"/>
    <xf numFmtId="172" fontId="77" fillId="0" borderId="60" xfId="0" applyNumberFormat="1" applyFont="1" applyBorder="1"/>
    <xf numFmtId="172" fontId="92" fillId="0" borderId="0" xfId="0" applyNumberFormat="1" applyFont="1" applyAlignment="1">
      <alignment horizontal="center"/>
    </xf>
    <xf numFmtId="172" fontId="80" fillId="0" borderId="60" xfId="0" applyNumberFormat="1" applyFont="1" applyBorder="1"/>
    <xf numFmtId="172" fontId="80" fillId="0" borderId="59" xfId="0" applyNumberFormat="1" applyFont="1" applyBorder="1"/>
    <xf numFmtId="172" fontId="80" fillId="0" borderId="58" xfId="0" applyNumberFormat="1" applyFont="1" applyBorder="1"/>
    <xf numFmtId="172" fontId="80" fillId="0" borderId="61" xfId="0" applyNumberFormat="1" applyFont="1" applyBorder="1"/>
    <xf numFmtId="172" fontId="80" fillId="0" borderId="62" xfId="0" applyNumberFormat="1" applyFont="1" applyBorder="1"/>
    <xf numFmtId="172" fontId="77" fillId="0" borderId="62" xfId="0" applyNumberFormat="1" applyFont="1" applyBorder="1"/>
    <xf numFmtId="172" fontId="80" fillId="0" borderId="63" xfId="0" applyNumberFormat="1" applyFont="1" applyBorder="1"/>
    <xf numFmtId="171" fontId="43" fillId="0" borderId="0" xfId="1" applyNumberFormat="1" applyProtection="1"/>
    <xf numFmtId="171" fontId="43" fillId="0" borderId="0" xfId="1" applyNumberFormat="1" applyBorder="1" applyProtection="1"/>
    <xf numFmtId="171" fontId="43" fillId="0" borderId="0" xfId="1" applyNumberFormat="1"/>
    <xf numFmtId="171" fontId="5" fillId="0" borderId="0" xfId="1" applyNumberFormat="1" applyFont="1" applyProtection="1"/>
    <xf numFmtId="14" fontId="5" fillId="0" borderId="0" xfId="0" applyNumberFormat="1" applyFont="1" applyProtection="1">
      <protection locked="0"/>
    </xf>
    <xf numFmtId="14" fontId="60" fillId="0" borderId="12" xfId="0" applyNumberFormat="1" applyFont="1" applyBorder="1" applyAlignment="1">
      <alignment horizontal="center" vertical="center"/>
    </xf>
    <xf numFmtId="14" fontId="60" fillId="0" borderId="14" xfId="0" applyNumberFormat="1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 wrapText="1" shrinkToFit="1"/>
    </xf>
    <xf numFmtId="173" fontId="93" fillId="0" borderId="0" xfId="0" applyNumberFormat="1" applyFont="1" applyProtection="1">
      <protection locked="0"/>
    </xf>
    <xf numFmtId="173" fontId="94" fillId="0" borderId="0" xfId="0" applyNumberFormat="1" applyFont="1" applyProtection="1">
      <protection locked="0"/>
    </xf>
    <xf numFmtId="173" fontId="94" fillId="0" borderId="64" xfId="0" applyNumberFormat="1" applyFont="1" applyBorder="1" applyProtection="1">
      <protection locked="0"/>
    </xf>
    <xf numFmtId="173" fontId="94" fillId="19" borderId="56" xfId="0" applyNumberFormat="1" applyFont="1" applyFill="1" applyBorder="1" applyProtection="1">
      <protection locked="0"/>
    </xf>
    <xf numFmtId="0" fontId="16" fillId="0" borderId="0" xfId="6" applyNumberFormat="1" applyFill="1" applyBorder="1" applyAlignment="1" applyProtection="1"/>
    <xf numFmtId="0" fontId="13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20" fillId="0" borderId="9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49" fontId="73" fillId="0" borderId="0" xfId="0" applyNumberFormat="1" applyFont="1" applyAlignment="1">
      <alignment horizontal="center"/>
    </xf>
    <xf numFmtId="0" fontId="62" fillId="0" borderId="0" xfId="0" applyFont="1"/>
    <xf numFmtId="0" fontId="63" fillId="0" borderId="0" xfId="0" applyFont="1" applyAlignment="1">
      <alignment horizontal="center" wrapText="1"/>
    </xf>
    <xf numFmtId="0" fontId="62" fillId="0" borderId="0" xfId="0" applyFont="1" applyAlignment="1">
      <alignment horizontal="right"/>
    </xf>
    <xf numFmtId="0" fontId="63" fillId="0" borderId="1" xfId="0" applyFont="1" applyBorder="1" applyAlignment="1">
      <alignment vertical="center" wrapText="1"/>
    </xf>
    <xf numFmtId="0" fontId="63" fillId="0" borderId="46" xfId="0" applyFont="1" applyBorder="1" applyAlignment="1">
      <alignment horizontal="right"/>
    </xf>
    <xf numFmtId="0" fontId="62" fillId="0" borderId="13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/>
    </xf>
    <xf numFmtId="0" fontId="62" fillId="0" borderId="1" xfId="0" applyFont="1" applyBorder="1" applyAlignment="1">
      <alignment vertical="center" wrapText="1"/>
    </xf>
    <xf numFmtId="0" fontId="63" fillId="0" borderId="55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1" fillId="0" borderId="1" xfId="0" applyFont="1" applyBorder="1" applyAlignment="1">
      <alignment vertical="center" wrapText="1"/>
    </xf>
    <xf numFmtId="0" fontId="67" fillId="0" borderId="1" xfId="0" applyFont="1" applyBorder="1" applyAlignment="1">
      <alignment vertical="center" wrapText="1"/>
    </xf>
    <xf numFmtId="0" fontId="63" fillId="0" borderId="37" xfId="0" applyFont="1" applyBorder="1" applyAlignment="1">
      <alignment vertical="center" wrapText="1"/>
    </xf>
    <xf numFmtId="0" fontId="62" fillId="0" borderId="16" xfId="0" applyFont="1" applyBorder="1" applyAlignment="1">
      <alignment vertical="center" wrapText="1"/>
    </xf>
    <xf numFmtId="0" fontId="62" fillId="0" borderId="13" xfId="0" applyFont="1" applyBorder="1" applyAlignment="1">
      <alignment vertical="center" wrapText="1"/>
    </xf>
    <xf numFmtId="0" fontId="63" fillId="0" borderId="0" xfId="0" applyFont="1" applyAlignment="1">
      <alignment horizontal="right"/>
    </xf>
    <xf numFmtId="0" fontId="61" fillId="0" borderId="39" xfId="0" applyFont="1" applyBorder="1" applyAlignment="1">
      <alignment vertical="center" wrapText="1"/>
    </xf>
    <xf numFmtId="0" fontId="63" fillId="0" borderId="16" xfId="0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2" fillId="0" borderId="31" xfId="0" applyFont="1" applyBorder="1" applyAlignment="1">
      <alignment vertical="center" wrapText="1"/>
    </xf>
    <xf numFmtId="0" fontId="69" fillId="0" borderId="0" xfId="0" applyFont="1" applyAlignment="1">
      <alignment horizontal="center"/>
    </xf>
    <xf numFmtId="49" fontId="73" fillId="0" borderId="0" xfId="0" applyNumberFormat="1" applyFont="1"/>
    <xf numFmtId="0" fontId="63" fillId="0" borderId="13" xfId="0" applyFont="1" applyBorder="1" applyAlignment="1">
      <alignment vertical="center" wrapText="1"/>
    </xf>
    <xf numFmtId="0" fontId="62" fillId="0" borderId="35" xfId="0" applyFont="1" applyBorder="1" applyAlignment="1">
      <alignment horizontal="left" vertical="center" wrapText="1"/>
    </xf>
    <xf numFmtId="0" fontId="62" fillId="0" borderId="30" xfId="0" applyFont="1" applyBorder="1" applyAlignment="1">
      <alignment horizontal="left" vertical="center" wrapText="1"/>
    </xf>
    <xf numFmtId="0" fontId="62" fillId="0" borderId="36" xfId="0" applyFont="1" applyBorder="1" applyAlignment="1">
      <alignment horizontal="left" vertical="center" wrapText="1"/>
    </xf>
    <xf numFmtId="0" fontId="62" fillId="0" borderId="37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17" fillId="2" borderId="0" xfId="0" applyFont="1" applyFill="1"/>
    <xf numFmtId="0" fontId="5" fillId="2" borderId="0" xfId="0" applyFont="1" applyFill="1" applyAlignment="1">
      <alignment horizontal="center" wrapText="1"/>
    </xf>
    <xf numFmtId="0" fontId="17" fillId="0" borderId="0" xfId="0" applyFont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0" fontId="5" fillId="0" borderId="46" xfId="0" applyFont="1" applyBorder="1" applyAlignment="1">
      <alignment horizontal="right"/>
    </xf>
    <xf numFmtId="0" fontId="29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7" fillId="0" borderId="44" xfId="0" applyFont="1" applyBorder="1" applyAlignment="1">
      <alignment horizontal="center"/>
    </xf>
    <xf numFmtId="0" fontId="29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4" fillId="0" borderId="9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17" fillId="0" borderId="5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0" fillId="0" borderId="46" xfId="0" applyBorder="1"/>
    <xf numFmtId="0" fontId="17" fillId="0" borderId="50" xfId="0" applyFont="1" applyBorder="1" applyAlignment="1">
      <alignment horizontal="left"/>
    </xf>
    <xf numFmtId="0" fontId="0" fillId="0" borderId="42" xfId="0" applyBorder="1"/>
    <xf numFmtId="0" fontId="7" fillId="0" borderId="0" xfId="0" applyFont="1"/>
    <xf numFmtId="49" fontId="14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168" fontId="37" fillId="0" borderId="13" xfId="34" applyNumberFormat="1" applyFont="1" applyBorder="1" applyAlignment="1" applyProtection="1">
      <alignment horizontal="center" vertical="top" wrapText="1"/>
      <protection locked="0"/>
    </xf>
    <xf numFmtId="168" fontId="37" fillId="0" borderId="14" xfId="34" applyNumberFormat="1" applyFont="1" applyBorder="1" applyAlignment="1" applyProtection="1">
      <alignment horizontal="center" vertical="center" wrapText="1"/>
      <protection locked="0"/>
    </xf>
    <xf numFmtId="0" fontId="37" fillId="0" borderId="14" xfId="34" applyFont="1" applyBorder="1" applyAlignment="1" applyProtection="1">
      <alignment horizontal="center" vertical="center" wrapText="1"/>
      <protection locked="0"/>
    </xf>
    <xf numFmtId="0" fontId="37" fillId="0" borderId="13" xfId="34" applyFont="1" applyBorder="1" applyAlignment="1" applyProtection="1">
      <alignment horizontal="center" vertical="center" wrapText="1"/>
      <protection locked="0"/>
    </xf>
    <xf numFmtId="0" fontId="37" fillId="0" borderId="11" xfId="34" applyFont="1" applyBorder="1" applyAlignment="1" applyProtection="1">
      <alignment horizontal="center" wrapText="1"/>
      <protection locked="0"/>
    </xf>
    <xf numFmtId="0" fontId="37" fillId="0" borderId="13" xfId="34" applyFont="1" applyBorder="1" applyAlignment="1" applyProtection="1">
      <alignment horizontal="center" vertical="center"/>
      <protection locked="0"/>
    </xf>
  </cellXfs>
  <cellStyles count="38">
    <cellStyle name="Ezres" xfId="1" builtinId="3"/>
    <cellStyle name="Ezres 2" xfId="2" xr:uid="{00000000-0005-0000-0000-000001000000}"/>
    <cellStyle name="Ezres 3" xfId="3" xr:uid="{00000000-0005-0000-0000-000002000000}"/>
    <cellStyle name="Ezres 4" xfId="4" xr:uid="{00000000-0005-0000-0000-000003000000}"/>
    <cellStyle name="Ezres 5" xfId="5" xr:uid="{00000000-0005-0000-0000-000004000000}"/>
    <cellStyle name="Hivatkozás" xfId="6" builtinId="8"/>
    <cellStyle name="Hivatkozás 2" xfId="7" xr:uid="{00000000-0005-0000-0000-000006000000}"/>
    <cellStyle name="Hivatkozás 3" xfId="8" xr:uid="{00000000-0005-0000-0000-000007000000}"/>
    <cellStyle name="Hivatkozás 4" xfId="9" xr:uid="{00000000-0005-0000-0000-000008000000}"/>
    <cellStyle name="Normál" xfId="0" builtinId="0"/>
    <cellStyle name="Normál 10" xfId="10" xr:uid="{00000000-0005-0000-0000-00000A000000}"/>
    <cellStyle name="Normal 2" xfId="11" xr:uid="{00000000-0005-0000-0000-00000B000000}"/>
    <cellStyle name="Normál 2" xfId="12" xr:uid="{00000000-0005-0000-0000-00000C000000}"/>
    <cellStyle name="Normál 2 2" xfId="13" xr:uid="{00000000-0005-0000-0000-00000D000000}"/>
    <cellStyle name="Normál 2 3" xfId="14" xr:uid="{00000000-0005-0000-0000-00000E000000}"/>
    <cellStyle name="Normál 2 4" xfId="15" xr:uid="{00000000-0005-0000-0000-00000F000000}"/>
    <cellStyle name="Normál 2 5" xfId="16" xr:uid="{00000000-0005-0000-0000-000010000000}"/>
    <cellStyle name="Normál 2 6" xfId="17" xr:uid="{00000000-0005-0000-0000-000011000000}"/>
    <cellStyle name="Normál 2_Alapa" xfId="18" xr:uid="{00000000-0005-0000-0000-000012000000}"/>
    <cellStyle name="Normál 3" xfId="19" xr:uid="{00000000-0005-0000-0000-000013000000}"/>
    <cellStyle name="Normál 3 2" xfId="20" xr:uid="{00000000-0005-0000-0000-000014000000}"/>
    <cellStyle name="Normál 3 3" xfId="21" xr:uid="{00000000-0005-0000-0000-000015000000}"/>
    <cellStyle name="Normál 3_AuditDok_2010_Feri" xfId="22" xr:uid="{00000000-0005-0000-0000-000016000000}"/>
    <cellStyle name="Normál 4" xfId="23" xr:uid="{00000000-0005-0000-0000-000017000000}"/>
    <cellStyle name="Normál 4 2" xfId="24" xr:uid="{00000000-0005-0000-0000-000018000000}"/>
    <cellStyle name="Normál 4_AuditDok_2010_Feri" xfId="25" xr:uid="{00000000-0005-0000-0000-000019000000}"/>
    <cellStyle name="Normál 5" xfId="26" xr:uid="{00000000-0005-0000-0000-00001A000000}"/>
    <cellStyle name="Normál 6" xfId="27" xr:uid="{00000000-0005-0000-0000-00001B000000}"/>
    <cellStyle name="Normál 7" xfId="28" xr:uid="{00000000-0005-0000-0000-00001C000000}"/>
    <cellStyle name="Normál 8" xfId="29" xr:uid="{00000000-0005-0000-0000-00001D000000}"/>
    <cellStyle name="Normál 9" xfId="30" xr:uid="{00000000-0005-0000-0000-00001E000000}"/>
    <cellStyle name="Normal_1997os osztalékkorlát" xfId="31" xr:uid="{00000000-0005-0000-0000-00001F000000}"/>
    <cellStyle name="Normál_Leltár összesítők" xfId="32" xr:uid="{00000000-0005-0000-0000-000020000000}"/>
    <cellStyle name="Normal_MERLEG1" xfId="33" xr:uid="{00000000-0005-0000-0000-000022000000}"/>
    <cellStyle name="Normál_statab2002" xfId="34" xr:uid="{00000000-0005-0000-0000-000024000000}"/>
    <cellStyle name="Normál_statab2002_SB01 Leltár09" xfId="35" xr:uid="{00000000-0005-0000-0000-000025000000}"/>
    <cellStyle name="Standard_BRPRINT" xfId="36" xr:uid="{00000000-0005-0000-0000-000026000000}"/>
    <cellStyle name="Százalék 2" xfId="37" xr:uid="{00000000-0005-0000-0000-000027000000}"/>
  </cellStyles>
  <dxfs count="17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\Besz&#225;mol&#243;\V&#233;gleges%20audit%20dok\Cash-flow%20sz&#225;m&#237;t&#225;s%202019(m&#243;s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HAL"/>
      <sheetName val="Mozgás tábla"/>
    </sheetNames>
    <sheetDataSet>
      <sheetData sheetId="0" refreshError="1"/>
      <sheetData sheetId="1">
        <row r="15">
          <cell r="D15">
            <v>278774</v>
          </cell>
          <cell r="I15">
            <v>139948</v>
          </cell>
        </row>
        <row r="20">
          <cell r="E20">
            <v>-369088</v>
          </cell>
          <cell r="F20">
            <v>0</v>
          </cell>
          <cell r="I20">
            <v>620970</v>
          </cell>
          <cell r="J20">
            <v>-236284</v>
          </cell>
        </row>
        <row r="22">
          <cell r="D22">
            <v>1144874</v>
          </cell>
        </row>
        <row r="24">
          <cell r="D24">
            <v>33461</v>
          </cell>
          <cell r="E24">
            <v>-30072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Users\pristyak-edit\Documents\Audit%202016\Vev&#337;k\Vev&#337;k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styák Edit" refreshedDate="42860.003947569443" createdVersion="4" refreshedVersion="4" minRefreshableVersion="3" recordCount="21618" xr:uid="{00000000-000A-0000-FFFF-FFFF12000000}">
  <cacheSource type="worksheet">
    <worksheetSource ref="A1:Y65536" sheet="Vevők tételes (2)" r:id="rId2"/>
  </cacheSource>
  <cacheFields count="25">
    <cacheField name="St." numFmtId="0">
      <sharedItems containsString="0"/>
    </cacheField>
    <cacheField name="Referencia" numFmtId="0">
      <sharedItems containsString="0"/>
    </cacheField>
    <cacheField name="Hozzárendelés" numFmtId="0">
      <sharedItems containsString="0"/>
    </cacheField>
    <cacheField name="Biz.f." numFmtId="0">
      <sharedItems containsString="0"/>
    </cacheField>
    <cacheField name="E." numFmtId="0">
      <sharedItems containsString="0"/>
    </cacheField>
    <cacheField name="Anyag" numFmtId="0">
      <sharedItems containsString="0"/>
    </cacheField>
    <cacheField name="Szöveg" numFmtId="0">
      <sharedItems containsString="0"/>
    </cacheField>
    <cacheField name="Bizl.szám" numFmtId="0">
      <sharedItems containsString="0"/>
    </cacheField>
    <cacheField name="1. név" numFmtId="0">
      <sharedItems containsString="0"/>
    </cacheField>
    <cacheField name="Számla" numFmtId="0">
      <sharedItems containsString="0"/>
    </cacheField>
    <cacheField name="Számla2" numFmtId="0">
      <sharedItems containsString="0"/>
    </cacheField>
    <cacheField name="Főkönyv" numFmtId="0">
      <sharedItems containsString="0"/>
    </cacheField>
    <cacheField name="Ellenszla" numFmtId="0">
      <sharedItems containsString="0"/>
    </cacheField>
    <cacheField name="Biz.dátum" numFmtId="0">
      <sharedItems containsNonDate="0" containsDate="1" containsString="0"/>
    </cacheField>
    <cacheField name="Összeg SP-ben" numFmtId="0">
      <sharedItems containsString="0" containsNumber="1" containsInteger="1"/>
    </cacheField>
    <cacheField name="SPnem" numFmtId="0">
      <sharedItems containsString="0"/>
    </cacheField>
    <cacheField name="Kiegyenl." numFmtId="0">
      <sharedItems containsNonDate="0" containsDate="1" containsString="0"/>
    </cacheField>
    <cacheField name="Nettó es." numFmtId="0">
      <sharedItems containsNonDate="0" containsDate="1" containsString="0"/>
    </cacheField>
    <cacheField name="Rögz.dát." numFmtId="0">
      <sharedItems containsNonDate="0" containsDate="1" containsString="0"/>
    </cacheField>
    <cacheField name="T/K" numFmtId="0">
      <sharedItems containsNonDate="0" containsString="0"/>
    </cacheField>
    <cacheField name="1" numFmtId="0">
      <sharedItems containsString="0" containsBlank="1" containsNumber="1" containsInteger="1" minValue="1" maxValue="7" count="8">
        <n v="3"/>
        <n v="2"/>
        <n v="7"/>
        <n v="4"/>
        <n v="1"/>
        <n v="5"/>
        <n v="6"/>
        <m/>
      </sharedItems>
    </cacheField>
    <cacheField name="Kategóriák " numFmtId="0">
      <sharedItems containsBlank="1" count="8">
        <s v="30-60"/>
        <s v="30 napon belüli"/>
        <s v="365 napon túli"/>
        <s v="60-90"/>
        <s v="Nem lejárt "/>
        <s v="90-180"/>
        <s v="180-365"/>
        <m/>
      </sharedItems>
    </cacheField>
    <cacheField name="Korosítás " numFmtId="0">
      <sharedItems containsString="0" containsNumber="1" containsInteger="1"/>
    </cacheField>
    <cacheField name="Könyv.dát." numFmtId="0">
      <sharedItems containsNonDate="0" containsDate="1" containsString="0"/>
    </cacheField>
    <cacheField name="2016.12.31" numFmtId="0">
      <sharedItems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18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E00-000000000000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compact="0" compactData="0" gridDropZones="1" multipleFieldFilters="0">
  <location ref="A18:C28" firstHeaderRow="2" firstDataRow="2" firstDataCol="2"/>
  <pivotFields count="25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defaultSubtotal="0">
      <items count="8">
        <item x="4"/>
        <item x="1"/>
        <item x="0"/>
        <item x="3"/>
        <item x="5"/>
        <item x="6"/>
        <item x="2"/>
        <item x="7"/>
      </items>
    </pivotField>
    <pivotField axis="axisRow" compact="0" outline="0" subtotalTop="0" showAll="0">
      <items count="9">
        <item x="6"/>
        <item x="1"/>
        <item x="0"/>
        <item x="2"/>
        <item x="3"/>
        <item x="5"/>
        <item x="4"/>
        <item x="7"/>
        <item t="default"/>
      </items>
    </pivotField>
    <pivotField compact="0" outline="0" subtotalTop="0" showAll="0"/>
    <pivotField compact="0" outline="0" subtotalTop="0" showAll="0"/>
    <pivotField compact="0" outline="0" subtotalTop="0" showAll="0"/>
  </pivotFields>
  <rowFields count="2">
    <field x="20"/>
    <field x="21"/>
  </rowFields>
  <rowItems count="9">
    <i>
      <x/>
      <x v="6"/>
    </i>
    <i>
      <x v="1"/>
      <x v="1"/>
    </i>
    <i>
      <x v="2"/>
      <x v="2"/>
    </i>
    <i>
      <x v="3"/>
      <x v="4"/>
    </i>
    <i>
      <x v="4"/>
      <x v="5"/>
    </i>
    <i>
      <x v="5"/>
      <x/>
    </i>
    <i>
      <x v="6"/>
      <x v="3"/>
    </i>
    <i>
      <x v="7"/>
      <x v="7"/>
    </i>
    <i t="grand">
      <x/>
    </i>
  </rowItems>
  <colItems count="1">
    <i/>
  </colItems>
  <dataFields count="1">
    <dataField name="Összeg / Összeg SP-ben" fld="14" baseField="21" baseItem="1" numFmtId="3"/>
  </dataFields>
  <formats count="17">
    <format dxfId="16">
      <pivotArea type="all" dataOnly="0" outline="0" collapsedLevelsAreSubtotals="1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field="20" type="button" dataOnly="0" labelOnly="1" outline="0" axis="axisRow" fieldPosition="0"/>
    </format>
    <format dxfId="11">
      <pivotArea field="21" type="button" dataOnly="0" labelOnly="1" outline="0" axis="axisRow" fieldPosition="1"/>
    </format>
    <format dxfId="10">
      <pivotArea dataOnly="0" labelOnly="1" outline="0" fieldPosition="0">
        <references count="1">
          <reference field="20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2">
          <reference field="20" count="1" selected="0">
            <x v="0"/>
          </reference>
          <reference field="21" count="1">
            <x v="6"/>
          </reference>
        </references>
      </pivotArea>
    </format>
    <format dxfId="7">
      <pivotArea dataOnly="0" labelOnly="1" outline="0" fieldPosition="0">
        <references count="2">
          <reference field="20" count="1" selected="0">
            <x v="1"/>
          </reference>
          <reference field="21" count="1">
            <x v="1"/>
          </reference>
        </references>
      </pivotArea>
    </format>
    <format dxfId="6">
      <pivotArea dataOnly="0" labelOnly="1" outline="0" fieldPosition="0">
        <references count="2">
          <reference field="20" count="1" selected="0">
            <x v="2"/>
          </reference>
          <reference field="21" count="1">
            <x v="2"/>
          </reference>
        </references>
      </pivotArea>
    </format>
    <format dxfId="5">
      <pivotArea dataOnly="0" labelOnly="1" outline="0" fieldPosition="0">
        <references count="2">
          <reference field="20" count="1" selected="0">
            <x v="3"/>
          </reference>
          <reference field="21" count="1">
            <x v="4"/>
          </reference>
        </references>
      </pivotArea>
    </format>
    <format dxfId="4">
      <pivotArea dataOnly="0" labelOnly="1" outline="0" fieldPosition="0">
        <references count="2">
          <reference field="20" count="1" selected="0">
            <x v="4"/>
          </reference>
          <reference field="21" count="1">
            <x v="5"/>
          </reference>
        </references>
      </pivotArea>
    </format>
    <format dxfId="3">
      <pivotArea dataOnly="0" labelOnly="1" outline="0" fieldPosition="0">
        <references count="2">
          <reference field="20" count="1" selected="0">
            <x v="5"/>
          </reference>
          <reference field="21" count="1">
            <x v="0"/>
          </reference>
        </references>
      </pivotArea>
    </format>
    <format dxfId="2">
      <pivotArea dataOnly="0" labelOnly="1" outline="0" fieldPosition="0">
        <references count="2">
          <reference field="20" count="1" selected="0">
            <x v="6"/>
          </reference>
          <reference field="21" count="1">
            <x v="3"/>
          </reference>
        </references>
      </pivotArea>
    </format>
    <format dxfId="1">
      <pivotArea dataOnly="0" labelOnly="1" outline="0" fieldPosition="0">
        <references count="2">
          <reference field="20" count="1" selected="0">
            <x v="7"/>
          </reference>
          <reference field="21" count="1">
            <x v="7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menzio-kft.hu/" TargetMode="External"/><Relationship Id="rId1" Type="http://schemas.openxmlformats.org/officeDocument/2006/relationships/hyperlink" Target="mailto:iroda@dimenzio-kf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rgb="FFE2EFDA"/>
  </sheetPr>
  <dimension ref="A1:U28"/>
  <sheetViews>
    <sheetView topLeftCell="A7" workbookViewId="0">
      <selection activeCell="L10" sqref="L10"/>
    </sheetView>
  </sheetViews>
  <sheetFormatPr defaultColWidth="8.88671875" defaultRowHeight="15"/>
  <cols>
    <col min="1" max="1" width="3.21875" customWidth="1"/>
    <col min="2" max="2" width="14" customWidth="1"/>
    <col min="5" max="5" width="11.6640625" customWidth="1"/>
    <col min="6" max="6" width="25.109375" customWidth="1"/>
    <col min="7" max="7" width="0.109375" customWidth="1"/>
    <col min="8" max="8" width="9" hidden="1" customWidth="1"/>
    <col min="9" max="9" width="6.5546875" customWidth="1"/>
    <col min="10" max="10" width="10.109375" style="1" customWidth="1"/>
    <col min="11" max="11" width="8.88671875" style="1"/>
    <col min="12" max="21" width="8.88671875" style="2"/>
  </cols>
  <sheetData>
    <row r="1" spans="1:11" ht="15.75">
      <c r="A1" s="185" t="s">
        <v>0</v>
      </c>
      <c r="B1" s="185"/>
      <c r="C1" s="185"/>
      <c r="D1" s="185"/>
      <c r="E1" s="185"/>
      <c r="F1" s="38" t="s">
        <v>1461</v>
      </c>
      <c r="G1" s="3"/>
      <c r="J1" s="4"/>
      <c r="K1" s="4"/>
    </row>
    <row r="2" spans="1:11" ht="15.75">
      <c r="A2" s="185" t="s">
        <v>2</v>
      </c>
      <c r="B2" s="185"/>
      <c r="C2" s="185"/>
      <c r="D2" s="185"/>
      <c r="E2" s="185"/>
      <c r="F2" s="3"/>
      <c r="G2" s="3"/>
      <c r="J2" s="4"/>
      <c r="K2" s="4"/>
    </row>
    <row r="3" spans="1:11" ht="15.75">
      <c r="A3" s="185" t="s">
        <v>4</v>
      </c>
      <c r="B3" s="185"/>
      <c r="C3" s="185"/>
      <c r="D3" s="185"/>
      <c r="E3" s="185"/>
      <c r="F3" s="5"/>
      <c r="G3" s="5"/>
      <c r="J3" s="4"/>
      <c r="K3" s="4"/>
    </row>
    <row r="4" spans="1:11" ht="15.75">
      <c r="A4" s="454" t="s">
        <v>5</v>
      </c>
      <c r="B4" s="454"/>
      <c r="C4" s="454"/>
      <c r="D4" s="454" t="s">
        <v>6</v>
      </c>
      <c r="E4" s="454"/>
      <c r="J4" s="4"/>
      <c r="K4" s="4"/>
    </row>
    <row r="5" spans="1:11" ht="15.75">
      <c r="J5" s="4"/>
      <c r="K5" s="4"/>
    </row>
    <row r="6" spans="1:11" ht="15.75">
      <c r="A6" s="6" t="s">
        <v>9</v>
      </c>
      <c r="B6" s="6"/>
      <c r="C6" s="6"/>
      <c r="D6" s="6"/>
      <c r="E6" s="186" t="s">
        <v>1475</v>
      </c>
      <c r="F6" s="186"/>
      <c r="G6" s="3"/>
      <c r="J6" s="4"/>
      <c r="K6" s="4"/>
    </row>
    <row r="7" spans="1:11" ht="15.75">
      <c r="A7" s="6" t="s">
        <v>10</v>
      </c>
      <c r="B7" s="6"/>
      <c r="C7" s="6"/>
      <c r="D7" s="6"/>
      <c r="E7" s="186" t="s">
        <v>1476</v>
      </c>
      <c r="F7" s="186"/>
      <c r="G7" s="3"/>
      <c r="J7" s="4"/>
      <c r="K7" s="4"/>
    </row>
    <row r="8" spans="1:11" ht="15.75">
      <c r="A8" s="6" t="s">
        <v>11</v>
      </c>
      <c r="B8" s="6"/>
      <c r="C8" s="6"/>
      <c r="D8" s="6"/>
      <c r="E8" s="186" t="s">
        <v>1477</v>
      </c>
      <c r="F8" s="186"/>
      <c r="G8" s="3"/>
      <c r="J8" s="4"/>
      <c r="K8" s="4"/>
    </row>
    <row r="9" spans="1:11" ht="15.75">
      <c r="A9" s="6" t="s">
        <v>12</v>
      </c>
      <c r="B9" s="6"/>
      <c r="C9" s="6"/>
      <c r="D9" s="6"/>
      <c r="E9" s="186" t="s">
        <v>1590</v>
      </c>
      <c r="F9" s="186"/>
      <c r="G9" s="3"/>
      <c r="J9" s="4"/>
      <c r="K9" s="4"/>
    </row>
    <row r="10" spans="1:11" ht="15.75">
      <c r="A10" s="6" t="s">
        <v>13</v>
      </c>
      <c r="B10" s="6"/>
      <c r="C10" s="6"/>
      <c r="D10" s="6"/>
      <c r="E10" s="186" t="s">
        <v>1492</v>
      </c>
      <c r="F10" s="186"/>
      <c r="G10" s="3"/>
      <c r="J10" s="4"/>
      <c r="K10" s="4"/>
    </row>
    <row r="11" spans="1:11" ht="15.75">
      <c r="A11" s="6" t="s">
        <v>14</v>
      </c>
      <c r="B11" s="6"/>
      <c r="C11" s="6"/>
      <c r="D11" s="6"/>
      <c r="E11" s="186"/>
      <c r="F11" s="186"/>
      <c r="G11" s="3"/>
      <c r="J11" s="4"/>
      <c r="K11" s="4"/>
    </row>
    <row r="12" spans="1:11" ht="15.75">
      <c r="A12" s="455" t="s">
        <v>15</v>
      </c>
      <c r="B12" s="455"/>
      <c r="C12" s="455"/>
      <c r="D12" s="455"/>
      <c r="E12" s="186" t="s">
        <v>1593</v>
      </c>
      <c r="F12" s="186"/>
      <c r="G12" s="3"/>
      <c r="J12" s="4"/>
      <c r="K12" s="4"/>
    </row>
    <row r="13" spans="1:11" ht="15.75">
      <c r="A13" s="6" t="s">
        <v>16</v>
      </c>
      <c r="B13" s="6"/>
      <c r="C13" s="6"/>
      <c r="D13" s="6"/>
      <c r="E13" s="186" t="s">
        <v>1595</v>
      </c>
      <c r="F13" s="186"/>
      <c r="G13" s="3"/>
      <c r="J13" s="4"/>
      <c r="K13" s="4"/>
    </row>
    <row r="14" spans="1:11" ht="15.75">
      <c r="A14" s="6" t="s">
        <v>17</v>
      </c>
      <c r="B14" s="6"/>
      <c r="C14" s="6"/>
      <c r="D14" s="6"/>
      <c r="E14" s="186" t="s">
        <v>1594</v>
      </c>
      <c r="F14" s="186"/>
      <c r="G14" s="7"/>
      <c r="J14" s="4"/>
      <c r="K14" s="4"/>
    </row>
    <row r="15" spans="1:11" ht="15.75">
      <c r="A15" s="2"/>
      <c r="B15" s="6"/>
      <c r="C15" s="6"/>
      <c r="D15" s="6"/>
      <c r="E15" s="6"/>
      <c r="F15" s="6"/>
      <c r="J15" s="4"/>
      <c r="K15" s="4"/>
    </row>
    <row r="16" spans="1:11" ht="15.75">
      <c r="A16" s="6" t="s">
        <v>18</v>
      </c>
      <c r="B16" s="6"/>
      <c r="C16" s="6"/>
      <c r="D16" s="6"/>
      <c r="E16" s="187">
        <v>0</v>
      </c>
      <c r="F16" s="2"/>
      <c r="J16" s="4"/>
      <c r="K16" s="4"/>
    </row>
    <row r="17" spans="1:11" ht="15.75">
      <c r="A17" s="6" t="s">
        <v>1462</v>
      </c>
      <c r="B17" s="6"/>
      <c r="C17" s="6"/>
      <c r="D17" s="6"/>
      <c r="E17" s="6"/>
      <c r="F17" s="2"/>
      <c r="J17" s="4"/>
      <c r="K17" s="4"/>
    </row>
    <row r="18" spans="1:11" ht="15.75">
      <c r="A18" s="6" t="s">
        <v>19</v>
      </c>
      <c r="B18" s="6"/>
      <c r="C18" s="6"/>
      <c r="D18" s="6"/>
      <c r="E18" s="6"/>
      <c r="F18" s="2"/>
      <c r="J18" s="4"/>
      <c r="K18" s="4"/>
    </row>
    <row r="19" spans="1:11">
      <c r="A19" s="6"/>
      <c r="B19" s="6"/>
      <c r="C19" s="6"/>
      <c r="D19" s="6"/>
      <c r="E19" s="6"/>
      <c r="K19" s="2"/>
    </row>
    <row r="20" spans="1:11">
      <c r="A20" s="6" t="s">
        <v>20</v>
      </c>
      <c r="B20" s="2"/>
      <c r="C20" s="2"/>
      <c r="D20" s="2"/>
      <c r="E20" s="2"/>
      <c r="F20" s="184" t="s">
        <v>3</v>
      </c>
      <c r="J20" s="2" t="s">
        <v>3</v>
      </c>
      <c r="K20" s="2"/>
    </row>
    <row r="21" spans="1:11">
      <c r="J21" s="2" t="s">
        <v>1</v>
      </c>
    </row>
    <row r="22" spans="1:11">
      <c r="A22" s="6" t="s">
        <v>21</v>
      </c>
      <c r="B22" s="2"/>
      <c r="C22" s="2"/>
      <c r="D22" s="2"/>
      <c r="E22" s="2"/>
      <c r="F22" s="184" t="s">
        <v>7</v>
      </c>
      <c r="J22" s="2"/>
      <c r="K22" s="2"/>
    </row>
    <row r="23" spans="1:11">
      <c r="A23" s="2"/>
      <c r="B23" s="2"/>
      <c r="C23" s="2"/>
      <c r="D23" s="2"/>
      <c r="E23" s="2"/>
      <c r="F23" s="2" t="s">
        <v>22</v>
      </c>
      <c r="J23" s="2" t="s">
        <v>7</v>
      </c>
      <c r="K23" s="2"/>
    </row>
    <row r="24" spans="1:11">
      <c r="A24" s="8" t="s">
        <v>23</v>
      </c>
      <c r="B24" s="8"/>
      <c r="C24" s="9"/>
      <c r="D24" s="181" t="s">
        <v>24</v>
      </c>
      <c r="E24" s="9"/>
      <c r="F24" s="2"/>
      <c r="J24" s="2" t="s">
        <v>8</v>
      </c>
      <c r="K24" s="2"/>
    </row>
    <row r="25" spans="1:11">
      <c r="A25" s="10"/>
      <c r="B25" s="10"/>
      <c r="C25" s="11" t="s">
        <v>25</v>
      </c>
      <c r="D25" s="11"/>
      <c r="E25" s="11" t="s">
        <v>26</v>
      </c>
      <c r="F25" s="2"/>
      <c r="J25" s="2"/>
      <c r="K25" s="2"/>
    </row>
    <row r="26" spans="1:11">
      <c r="A26" s="11" t="s">
        <v>27</v>
      </c>
      <c r="B26" s="11"/>
      <c r="C26" s="12">
        <v>1200000</v>
      </c>
      <c r="D26" s="12"/>
      <c r="E26" s="12">
        <v>6000000</v>
      </c>
      <c r="F26" s="2"/>
      <c r="J26" s="2"/>
      <c r="K26" s="2"/>
    </row>
    <row r="27" spans="1:11">
      <c r="A27" s="11" t="s">
        <v>28</v>
      </c>
      <c r="B27" s="11"/>
      <c r="C27" s="12">
        <v>2400000</v>
      </c>
      <c r="D27" s="12"/>
      <c r="E27" s="12">
        <v>12000000</v>
      </c>
      <c r="F27" s="2"/>
    </row>
    <row r="28" spans="1:11">
      <c r="A28" s="11" t="s">
        <v>29</v>
      </c>
      <c r="B28" s="11"/>
      <c r="C28" s="11">
        <v>50</v>
      </c>
      <c r="D28" s="11"/>
      <c r="E28" s="11">
        <v>250</v>
      </c>
      <c r="F28" s="2"/>
    </row>
  </sheetData>
  <sheetProtection selectLockedCells="1" selectUnlockedCells="1"/>
  <mergeCells count="3">
    <mergeCell ref="A4:C4"/>
    <mergeCell ref="D4:E4"/>
    <mergeCell ref="A12:D12"/>
  </mergeCells>
  <dataValidations count="3">
    <dataValidation type="textLength" allowBlank="1" showInputMessage="1" showErrorMessage="1" error="Összesítő sor - Nem szerkeszthető !_x000a_              Kilépés   ESC !" prompt="Összesítő" sqref="K1:K18" xr:uid="{00000000-0002-0000-0000-000000000000}">
      <formula1>0</formula1>
      <formula2>0</formula2>
    </dataValidation>
    <dataValidation type="list" allowBlank="1" showErrorMessage="1" sqref="F22" xr:uid="{00000000-0002-0000-0000-000001000000}">
      <formula1>$J$23:$J$24</formula1>
      <formula2>0</formula2>
    </dataValidation>
    <dataValidation type="list" allowBlank="1" showErrorMessage="1" sqref="F20" xr:uid="{00000000-0002-0000-0000-000002000000}">
      <formula1>$J$20:$J$21</formula1>
    </dataValidation>
  </dataValidations>
  <hyperlinks>
    <hyperlink ref="A4" r:id="rId1" xr:uid="{00000000-0004-0000-0000-000000000000}"/>
    <hyperlink ref="D4" r:id="rId2" xr:uid="{00000000-0004-0000-0000-000001000000}"/>
  </hyperlinks>
  <printOptions headings="1" gridLines="1"/>
  <pageMargins left="0.74803149606299213" right="0.74803149606299213" top="0.98425196850393704" bottom="0.98425196850393704" header="0.51181102362204722" footer="0.51181102362204722"/>
  <pageSetup paperSize="9" scale="95" firstPageNumber="0" orientation="portrait" blackAndWhite="1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D9F7B-6DBD-46D0-97EA-4C9C7446299C}">
  <dimension ref="A1:AL94"/>
  <sheetViews>
    <sheetView workbookViewId="0">
      <selection activeCell="H58" sqref="H58"/>
    </sheetView>
  </sheetViews>
  <sheetFormatPr defaultColWidth="10.6640625" defaultRowHeight="12.75"/>
  <cols>
    <col min="1" max="1" width="35.21875" style="401" customWidth="1"/>
    <col min="2" max="2" width="12.33203125" style="401" customWidth="1"/>
    <col min="3" max="3" width="13.5546875" style="401" customWidth="1"/>
    <col min="4" max="4" width="13.33203125" style="401" customWidth="1"/>
    <col min="5" max="11" width="9.5546875" style="401" customWidth="1"/>
    <col min="12" max="12" width="10.33203125" style="401" bestFit="1" customWidth="1"/>
    <col min="13" max="16" width="9.5546875" style="401" customWidth="1"/>
    <col min="17" max="17" width="10.33203125" style="401" bestFit="1" customWidth="1"/>
    <col min="18" max="20" width="9.5546875" style="401" customWidth="1"/>
    <col min="21" max="21" width="5.6640625" style="401" customWidth="1"/>
    <col min="22" max="27" width="9.5546875" style="401" customWidth="1"/>
    <col min="28" max="28" width="8.6640625" style="401" bestFit="1" customWidth="1"/>
    <col min="29" max="29" width="9.5546875" style="401" customWidth="1"/>
    <col min="30" max="256" width="10.6640625" style="401"/>
    <col min="257" max="257" width="48.109375" style="401" bestFit="1" customWidth="1"/>
    <col min="258" max="258" width="12.33203125" style="401" customWidth="1"/>
    <col min="259" max="259" width="13.5546875" style="401" customWidth="1"/>
    <col min="260" max="260" width="13.33203125" style="401" customWidth="1"/>
    <col min="261" max="267" width="9.5546875" style="401" customWidth="1"/>
    <col min="268" max="268" width="10.33203125" style="401" bestFit="1" customWidth="1"/>
    <col min="269" max="272" width="9.5546875" style="401" customWidth="1"/>
    <col min="273" max="273" width="10.33203125" style="401" bestFit="1" customWidth="1"/>
    <col min="274" max="276" width="9.5546875" style="401" customWidth="1"/>
    <col min="277" max="277" width="5.6640625" style="401" customWidth="1"/>
    <col min="278" max="283" width="9.5546875" style="401" customWidth="1"/>
    <col min="284" max="284" width="8.6640625" style="401" bestFit="1" customWidth="1"/>
    <col min="285" max="285" width="9.5546875" style="401" customWidth="1"/>
    <col min="286" max="512" width="10.6640625" style="401"/>
    <col min="513" max="513" width="48.109375" style="401" bestFit="1" customWidth="1"/>
    <col min="514" max="514" width="12.33203125" style="401" customWidth="1"/>
    <col min="515" max="515" width="13.5546875" style="401" customWidth="1"/>
    <col min="516" max="516" width="13.33203125" style="401" customWidth="1"/>
    <col min="517" max="523" width="9.5546875" style="401" customWidth="1"/>
    <col min="524" max="524" width="10.33203125" style="401" bestFit="1" customWidth="1"/>
    <col min="525" max="528" width="9.5546875" style="401" customWidth="1"/>
    <col min="529" max="529" width="10.33203125" style="401" bestFit="1" customWidth="1"/>
    <col min="530" max="532" width="9.5546875" style="401" customWidth="1"/>
    <col min="533" max="533" width="5.6640625" style="401" customWidth="1"/>
    <col min="534" max="539" width="9.5546875" style="401" customWidth="1"/>
    <col min="540" max="540" width="8.6640625" style="401" bestFit="1" customWidth="1"/>
    <col min="541" max="541" width="9.5546875" style="401" customWidth="1"/>
    <col min="542" max="768" width="10.6640625" style="401"/>
    <col min="769" max="769" width="48.109375" style="401" bestFit="1" customWidth="1"/>
    <col min="770" max="770" width="12.33203125" style="401" customWidth="1"/>
    <col min="771" max="771" width="13.5546875" style="401" customWidth="1"/>
    <col min="772" max="772" width="13.33203125" style="401" customWidth="1"/>
    <col min="773" max="779" width="9.5546875" style="401" customWidth="1"/>
    <col min="780" max="780" width="10.33203125" style="401" bestFit="1" customWidth="1"/>
    <col min="781" max="784" width="9.5546875" style="401" customWidth="1"/>
    <col min="785" max="785" width="10.33203125" style="401" bestFit="1" customWidth="1"/>
    <col min="786" max="788" width="9.5546875" style="401" customWidth="1"/>
    <col min="789" max="789" width="5.6640625" style="401" customWidth="1"/>
    <col min="790" max="795" width="9.5546875" style="401" customWidth="1"/>
    <col min="796" max="796" width="8.6640625" style="401" bestFit="1" customWidth="1"/>
    <col min="797" max="797" width="9.5546875" style="401" customWidth="1"/>
    <col min="798" max="1024" width="10.6640625" style="401"/>
    <col min="1025" max="1025" width="48.109375" style="401" bestFit="1" customWidth="1"/>
    <col min="1026" max="1026" width="12.33203125" style="401" customWidth="1"/>
    <col min="1027" max="1027" width="13.5546875" style="401" customWidth="1"/>
    <col min="1028" max="1028" width="13.33203125" style="401" customWidth="1"/>
    <col min="1029" max="1035" width="9.5546875" style="401" customWidth="1"/>
    <col min="1036" max="1036" width="10.33203125" style="401" bestFit="1" customWidth="1"/>
    <col min="1037" max="1040" width="9.5546875" style="401" customWidth="1"/>
    <col min="1041" max="1041" width="10.33203125" style="401" bestFit="1" customWidth="1"/>
    <col min="1042" max="1044" width="9.5546875" style="401" customWidth="1"/>
    <col min="1045" max="1045" width="5.6640625" style="401" customWidth="1"/>
    <col min="1046" max="1051" width="9.5546875" style="401" customWidth="1"/>
    <col min="1052" max="1052" width="8.6640625" style="401" bestFit="1" customWidth="1"/>
    <col min="1053" max="1053" width="9.5546875" style="401" customWidth="1"/>
    <col min="1054" max="1280" width="10.6640625" style="401"/>
    <col min="1281" max="1281" width="48.109375" style="401" bestFit="1" customWidth="1"/>
    <col min="1282" max="1282" width="12.33203125" style="401" customWidth="1"/>
    <col min="1283" max="1283" width="13.5546875" style="401" customWidth="1"/>
    <col min="1284" max="1284" width="13.33203125" style="401" customWidth="1"/>
    <col min="1285" max="1291" width="9.5546875" style="401" customWidth="1"/>
    <col min="1292" max="1292" width="10.33203125" style="401" bestFit="1" customWidth="1"/>
    <col min="1293" max="1296" width="9.5546875" style="401" customWidth="1"/>
    <col min="1297" max="1297" width="10.33203125" style="401" bestFit="1" customWidth="1"/>
    <col min="1298" max="1300" width="9.5546875" style="401" customWidth="1"/>
    <col min="1301" max="1301" width="5.6640625" style="401" customWidth="1"/>
    <col min="1302" max="1307" width="9.5546875" style="401" customWidth="1"/>
    <col min="1308" max="1308" width="8.6640625" style="401" bestFit="1" customWidth="1"/>
    <col min="1309" max="1309" width="9.5546875" style="401" customWidth="1"/>
    <col min="1310" max="1536" width="10.6640625" style="401"/>
    <col min="1537" max="1537" width="48.109375" style="401" bestFit="1" customWidth="1"/>
    <col min="1538" max="1538" width="12.33203125" style="401" customWidth="1"/>
    <col min="1539" max="1539" width="13.5546875" style="401" customWidth="1"/>
    <col min="1540" max="1540" width="13.33203125" style="401" customWidth="1"/>
    <col min="1541" max="1547" width="9.5546875" style="401" customWidth="1"/>
    <col min="1548" max="1548" width="10.33203125" style="401" bestFit="1" customWidth="1"/>
    <col min="1549" max="1552" width="9.5546875" style="401" customWidth="1"/>
    <col min="1553" max="1553" width="10.33203125" style="401" bestFit="1" customWidth="1"/>
    <col min="1554" max="1556" width="9.5546875" style="401" customWidth="1"/>
    <col min="1557" max="1557" width="5.6640625" style="401" customWidth="1"/>
    <col min="1558" max="1563" width="9.5546875" style="401" customWidth="1"/>
    <col min="1564" max="1564" width="8.6640625" style="401" bestFit="1" customWidth="1"/>
    <col min="1565" max="1565" width="9.5546875" style="401" customWidth="1"/>
    <col min="1566" max="1792" width="10.6640625" style="401"/>
    <col min="1793" max="1793" width="48.109375" style="401" bestFit="1" customWidth="1"/>
    <col min="1794" max="1794" width="12.33203125" style="401" customWidth="1"/>
    <col min="1795" max="1795" width="13.5546875" style="401" customWidth="1"/>
    <col min="1796" max="1796" width="13.33203125" style="401" customWidth="1"/>
    <col min="1797" max="1803" width="9.5546875" style="401" customWidth="1"/>
    <col min="1804" max="1804" width="10.33203125" style="401" bestFit="1" customWidth="1"/>
    <col min="1805" max="1808" width="9.5546875" style="401" customWidth="1"/>
    <col min="1809" max="1809" width="10.33203125" style="401" bestFit="1" customWidth="1"/>
    <col min="1810" max="1812" width="9.5546875" style="401" customWidth="1"/>
    <col min="1813" max="1813" width="5.6640625" style="401" customWidth="1"/>
    <col min="1814" max="1819" width="9.5546875" style="401" customWidth="1"/>
    <col min="1820" max="1820" width="8.6640625" style="401" bestFit="1" customWidth="1"/>
    <col min="1821" max="1821" width="9.5546875" style="401" customWidth="1"/>
    <col min="1822" max="2048" width="10.6640625" style="401"/>
    <col min="2049" max="2049" width="48.109375" style="401" bestFit="1" customWidth="1"/>
    <col min="2050" max="2050" width="12.33203125" style="401" customWidth="1"/>
    <col min="2051" max="2051" width="13.5546875" style="401" customWidth="1"/>
    <col min="2052" max="2052" width="13.33203125" style="401" customWidth="1"/>
    <col min="2053" max="2059" width="9.5546875" style="401" customWidth="1"/>
    <col min="2060" max="2060" width="10.33203125" style="401" bestFit="1" customWidth="1"/>
    <col min="2061" max="2064" width="9.5546875" style="401" customWidth="1"/>
    <col min="2065" max="2065" width="10.33203125" style="401" bestFit="1" customWidth="1"/>
    <col min="2066" max="2068" width="9.5546875" style="401" customWidth="1"/>
    <col min="2069" max="2069" width="5.6640625" style="401" customWidth="1"/>
    <col min="2070" max="2075" width="9.5546875" style="401" customWidth="1"/>
    <col min="2076" max="2076" width="8.6640625" style="401" bestFit="1" customWidth="1"/>
    <col min="2077" max="2077" width="9.5546875" style="401" customWidth="1"/>
    <col min="2078" max="2304" width="10.6640625" style="401"/>
    <col min="2305" max="2305" width="48.109375" style="401" bestFit="1" customWidth="1"/>
    <col min="2306" max="2306" width="12.33203125" style="401" customWidth="1"/>
    <col min="2307" max="2307" width="13.5546875" style="401" customWidth="1"/>
    <col min="2308" max="2308" width="13.33203125" style="401" customWidth="1"/>
    <col min="2309" max="2315" width="9.5546875" style="401" customWidth="1"/>
    <col min="2316" max="2316" width="10.33203125" style="401" bestFit="1" customWidth="1"/>
    <col min="2317" max="2320" width="9.5546875" style="401" customWidth="1"/>
    <col min="2321" max="2321" width="10.33203125" style="401" bestFit="1" customWidth="1"/>
    <col min="2322" max="2324" width="9.5546875" style="401" customWidth="1"/>
    <col min="2325" max="2325" width="5.6640625" style="401" customWidth="1"/>
    <col min="2326" max="2331" width="9.5546875" style="401" customWidth="1"/>
    <col min="2332" max="2332" width="8.6640625" style="401" bestFit="1" customWidth="1"/>
    <col min="2333" max="2333" width="9.5546875" style="401" customWidth="1"/>
    <col min="2334" max="2560" width="10.6640625" style="401"/>
    <col min="2561" max="2561" width="48.109375" style="401" bestFit="1" customWidth="1"/>
    <col min="2562" max="2562" width="12.33203125" style="401" customWidth="1"/>
    <col min="2563" max="2563" width="13.5546875" style="401" customWidth="1"/>
    <col min="2564" max="2564" width="13.33203125" style="401" customWidth="1"/>
    <col min="2565" max="2571" width="9.5546875" style="401" customWidth="1"/>
    <col min="2572" max="2572" width="10.33203125" style="401" bestFit="1" customWidth="1"/>
    <col min="2573" max="2576" width="9.5546875" style="401" customWidth="1"/>
    <col min="2577" max="2577" width="10.33203125" style="401" bestFit="1" customWidth="1"/>
    <col min="2578" max="2580" width="9.5546875" style="401" customWidth="1"/>
    <col min="2581" max="2581" width="5.6640625" style="401" customWidth="1"/>
    <col min="2582" max="2587" width="9.5546875" style="401" customWidth="1"/>
    <col min="2588" max="2588" width="8.6640625" style="401" bestFit="1" customWidth="1"/>
    <col min="2589" max="2589" width="9.5546875" style="401" customWidth="1"/>
    <col min="2590" max="2816" width="10.6640625" style="401"/>
    <col min="2817" max="2817" width="48.109375" style="401" bestFit="1" customWidth="1"/>
    <col min="2818" max="2818" width="12.33203125" style="401" customWidth="1"/>
    <col min="2819" max="2819" width="13.5546875" style="401" customWidth="1"/>
    <col min="2820" max="2820" width="13.33203125" style="401" customWidth="1"/>
    <col min="2821" max="2827" width="9.5546875" style="401" customWidth="1"/>
    <col min="2828" max="2828" width="10.33203125" style="401" bestFit="1" customWidth="1"/>
    <col min="2829" max="2832" width="9.5546875" style="401" customWidth="1"/>
    <col min="2833" max="2833" width="10.33203125" style="401" bestFit="1" customWidth="1"/>
    <col min="2834" max="2836" width="9.5546875" style="401" customWidth="1"/>
    <col min="2837" max="2837" width="5.6640625" style="401" customWidth="1"/>
    <col min="2838" max="2843" width="9.5546875" style="401" customWidth="1"/>
    <col min="2844" max="2844" width="8.6640625" style="401" bestFit="1" customWidth="1"/>
    <col min="2845" max="2845" width="9.5546875" style="401" customWidth="1"/>
    <col min="2846" max="3072" width="10.6640625" style="401"/>
    <col min="3073" max="3073" width="48.109375" style="401" bestFit="1" customWidth="1"/>
    <col min="3074" max="3074" width="12.33203125" style="401" customWidth="1"/>
    <col min="3075" max="3075" width="13.5546875" style="401" customWidth="1"/>
    <col min="3076" max="3076" width="13.33203125" style="401" customWidth="1"/>
    <col min="3077" max="3083" width="9.5546875" style="401" customWidth="1"/>
    <col min="3084" max="3084" width="10.33203125" style="401" bestFit="1" customWidth="1"/>
    <col min="3085" max="3088" width="9.5546875" style="401" customWidth="1"/>
    <col min="3089" max="3089" width="10.33203125" style="401" bestFit="1" customWidth="1"/>
    <col min="3090" max="3092" width="9.5546875" style="401" customWidth="1"/>
    <col min="3093" max="3093" width="5.6640625" style="401" customWidth="1"/>
    <col min="3094" max="3099" width="9.5546875" style="401" customWidth="1"/>
    <col min="3100" max="3100" width="8.6640625" style="401" bestFit="1" customWidth="1"/>
    <col min="3101" max="3101" width="9.5546875" style="401" customWidth="1"/>
    <col min="3102" max="3328" width="10.6640625" style="401"/>
    <col min="3329" max="3329" width="48.109375" style="401" bestFit="1" customWidth="1"/>
    <col min="3330" max="3330" width="12.33203125" style="401" customWidth="1"/>
    <col min="3331" max="3331" width="13.5546875" style="401" customWidth="1"/>
    <col min="3332" max="3332" width="13.33203125" style="401" customWidth="1"/>
    <col min="3333" max="3339" width="9.5546875" style="401" customWidth="1"/>
    <col min="3340" max="3340" width="10.33203125" style="401" bestFit="1" customWidth="1"/>
    <col min="3341" max="3344" width="9.5546875" style="401" customWidth="1"/>
    <col min="3345" max="3345" width="10.33203125" style="401" bestFit="1" customWidth="1"/>
    <col min="3346" max="3348" width="9.5546875" style="401" customWidth="1"/>
    <col min="3349" max="3349" width="5.6640625" style="401" customWidth="1"/>
    <col min="3350" max="3355" width="9.5546875" style="401" customWidth="1"/>
    <col min="3356" max="3356" width="8.6640625" style="401" bestFit="1" customWidth="1"/>
    <col min="3357" max="3357" width="9.5546875" style="401" customWidth="1"/>
    <col min="3358" max="3584" width="10.6640625" style="401"/>
    <col min="3585" max="3585" width="48.109375" style="401" bestFit="1" customWidth="1"/>
    <col min="3586" max="3586" width="12.33203125" style="401" customWidth="1"/>
    <col min="3587" max="3587" width="13.5546875" style="401" customWidth="1"/>
    <col min="3588" max="3588" width="13.33203125" style="401" customWidth="1"/>
    <col min="3589" max="3595" width="9.5546875" style="401" customWidth="1"/>
    <col min="3596" max="3596" width="10.33203125" style="401" bestFit="1" customWidth="1"/>
    <col min="3597" max="3600" width="9.5546875" style="401" customWidth="1"/>
    <col min="3601" max="3601" width="10.33203125" style="401" bestFit="1" customWidth="1"/>
    <col min="3602" max="3604" width="9.5546875" style="401" customWidth="1"/>
    <col min="3605" max="3605" width="5.6640625" style="401" customWidth="1"/>
    <col min="3606" max="3611" width="9.5546875" style="401" customWidth="1"/>
    <col min="3612" max="3612" width="8.6640625" style="401" bestFit="1" customWidth="1"/>
    <col min="3613" max="3613" width="9.5546875" style="401" customWidth="1"/>
    <col min="3614" max="3840" width="10.6640625" style="401"/>
    <col min="3841" max="3841" width="48.109375" style="401" bestFit="1" customWidth="1"/>
    <col min="3842" max="3842" width="12.33203125" style="401" customWidth="1"/>
    <col min="3843" max="3843" width="13.5546875" style="401" customWidth="1"/>
    <col min="3844" max="3844" width="13.33203125" style="401" customWidth="1"/>
    <col min="3845" max="3851" width="9.5546875" style="401" customWidth="1"/>
    <col min="3852" max="3852" width="10.33203125" style="401" bestFit="1" customWidth="1"/>
    <col min="3853" max="3856" width="9.5546875" style="401" customWidth="1"/>
    <col min="3857" max="3857" width="10.33203125" style="401" bestFit="1" customWidth="1"/>
    <col min="3858" max="3860" width="9.5546875" style="401" customWidth="1"/>
    <col min="3861" max="3861" width="5.6640625" style="401" customWidth="1"/>
    <col min="3862" max="3867" width="9.5546875" style="401" customWidth="1"/>
    <col min="3868" max="3868" width="8.6640625" style="401" bestFit="1" customWidth="1"/>
    <col min="3869" max="3869" width="9.5546875" style="401" customWidth="1"/>
    <col min="3870" max="4096" width="10.6640625" style="401"/>
    <col min="4097" max="4097" width="48.109375" style="401" bestFit="1" customWidth="1"/>
    <col min="4098" max="4098" width="12.33203125" style="401" customWidth="1"/>
    <col min="4099" max="4099" width="13.5546875" style="401" customWidth="1"/>
    <col min="4100" max="4100" width="13.33203125" style="401" customWidth="1"/>
    <col min="4101" max="4107" width="9.5546875" style="401" customWidth="1"/>
    <col min="4108" max="4108" width="10.33203125" style="401" bestFit="1" customWidth="1"/>
    <col min="4109" max="4112" width="9.5546875" style="401" customWidth="1"/>
    <col min="4113" max="4113" width="10.33203125" style="401" bestFit="1" customWidth="1"/>
    <col min="4114" max="4116" width="9.5546875" style="401" customWidth="1"/>
    <col min="4117" max="4117" width="5.6640625" style="401" customWidth="1"/>
    <col min="4118" max="4123" width="9.5546875" style="401" customWidth="1"/>
    <col min="4124" max="4124" width="8.6640625" style="401" bestFit="1" customWidth="1"/>
    <col min="4125" max="4125" width="9.5546875" style="401" customWidth="1"/>
    <col min="4126" max="4352" width="10.6640625" style="401"/>
    <col min="4353" max="4353" width="48.109375" style="401" bestFit="1" customWidth="1"/>
    <col min="4354" max="4354" width="12.33203125" style="401" customWidth="1"/>
    <col min="4355" max="4355" width="13.5546875" style="401" customWidth="1"/>
    <col min="4356" max="4356" width="13.33203125" style="401" customWidth="1"/>
    <col min="4357" max="4363" width="9.5546875" style="401" customWidth="1"/>
    <col min="4364" max="4364" width="10.33203125" style="401" bestFit="1" customWidth="1"/>
    <col min="4365" max="4368" width="9.5546875" style="401" customWidth="1"/>
    <col min="4369" max="4369" width="10.33203125" style="401" bestFit="1" customWidth="1"/>
    <col min="4370" max="4372" width="9.5546875" style="401" customWidth="1"/>
    <col min="4373" max="4373" width="5.6640625" style="401" customWidth="1"/>
    <col min="4374" max="4379" width="9.5546875" style="401" customWidth="1"/>
    <col min="4380" max="4380" width="8.6640625" style="401" bestFit="1" customWidth="1"/>
    <col min="4381" max="4381" width="9.5546875" style="401" customWidth="1"/>
    <col min="4382" max="4608" width="10.6640625" style="401"/>
    <col min="4609" max="4609" width="48.109375" style="401" bestFit="1" customWidth="1"/>
    <col min="4610" max="4610" width="12.33203125" style="401" customWidth="1"/>
    <col min="4611" max="4611" width="13.5546875" style="401" customWidth="1"/>
    <col min="4612" max="4612" width="13.33203125" style="401" customWidth="1"/>
    <col min="4613" max="4619" width="9.5546875" style="401" customWidth="1"/>
    <col min="4620" max="4620" width="10.33203125" style="401" bestFit="1" customWidth="1"/>
    <col min="4621" max="4624" width="9.5546875" style="401" customWidth="1"/>
    <col min="4625" max="4625" width="10.33203125" style="401" bestFit="1" customWidth="1"/>
    <col min="4626" max="4628" width="9.5546875" style="401" customWidth="1"/>
    <col min="4629" max="4629" width="5.6640625" style="401" customWidth="1"/>
    <col min="4630" max="4635" width="9.5546875" style="401" customWidth="1"/>
    <col min="4636" max="4636" width="8.6640625" style="401" bestFit="1" customWidth="1"/>
    <col min="4637" max="4637" width="9.5546875" style="401" customWidth="1"/>
    <col min="4638" max="4864" width="10.6640625" style="401"/>
    <col min="4865" max="4865" width="48.109375" style="401" bestFit="1" customWidth="1"/>
    <col min="4866" max="4866" width="12.33203125" style="401" customWidth="1"/>
    <col min="4867" max="4867" width="13.5546875" style="401" customWidth="1"/>
    <col min="4868" max="4868" width="13.33203125" style="401" customWidth="1"/>
    <col min="4869" max="4875" width="9.5546875" style="401" customWidth="1"/>
    <col min="4876" max="4876" width="10.33203125" style="401" bestFit="1" customWidth="1"/>
    <col min="4877" max="4880" width="9.5546875" style="401" customWidth="1"/>
    <col min="4881" max="4881" width="10.33203125" style="401" bestFit="1" customWidth="1"/>
    <col min="4882" max="4884" width="9.5546875" style="401" customWidth="1"/>
    <col min="4885" max="4885" width="5.6640625" style="401" customWidth="1"/>
    <col min="4886" max="4891" width="9.5546875" style="401" customWidth="1"/>
    <col min="4892" max="4892" width="8.6640625" style="401" bestFit="1" customWidth="1"/>
    <col min="4893" max="4893" width="9.5546875" style="401" customWidth="1"/>
    <col min="4894" max="5120" width="10.6640625" style="401"/>
    <col min="5121" max="5121" width="48.109375" style="401" bestFit="1" customWidth="1"/>
    <col min="5122" max="5122" width="12.33203125" style="401" customWidth="1"/>
    <col min="5123" max="5123" width="13.5546875" style="401" customWidth="1"/>
    <col min="5124" max="5124" width="13.33203125" style="401" customWidth="1"/>
    <col min="5125" max="5131" width="9.5546875" style="401" customWidth="1"/>
    <col min="5132" max="5132" width="10.33203125" style="401" bestFit="1" customWidth="1"/>
    <col min="5133" max="5136" width="9.5546875" style="401" customWidth="1"/>
    <col min="5137" max="5137" width="10.33203125" style="401" bestFit="1" customWidth="1"/>
    <col min="5138" max="5140" width="9.5546875" style="401" customWidth="1"/>
    <col min="5141" max="5141" width="5.6640625" style="401" customWidth="1"/>
    <col min="5142" max="5147" width="9.5546875" style="401" customWidth="1"/>
    <col min="5148" max="5148" width="8.6640625" style="401" bestFit="1" customWidth="1"/>
    <col min="5149" max="5149" width="9.5546875" style="401" customWidth="1"/>
    <col min="5150" max="5376" width="10.6640625" style="401"/>
    <col min="5377" max="5377" width="48.109375" style="401" bestFit="1" customWidth="1"/>
    <col min="5378" max="5378" width="12.33203125" style="401" customWidth="1"/>
    <col min="5379" max="5379" width="13.5546875" style="401" customWidth="1"/>
    <col min="5380" max="5380" width="13.33203125" style="401" customWidth="1"/>
    <col min="5381" max="5387" width="9.5546875" style="401" customWidth="1"/>
    <col min="5388" max="5388" width="10.33203125" style="401" bestFit="1" customWidth="1"/>
    <col min="5389" max="5392" width="9.5546875" style="401" customWidth="1"/>
    <col min="5393" max="5393" width="10.33203125" style="401" bestFit="1" customWidth="1"/>
    <col min="5394" max="5396" width="9.5546875" style="401" customWidth="1"/>
    <col min="5397" max="5397" width="5.6640625" style="401" customWidth="1"/>
    <col min="5398" max="5403" width="9.5546875" style="401" customWidth="1"/>
    <col min="5404" max="5404" width="8.6640625" style="401" bestFit="1" customWidth="1"/>
    <col min="5405" max="5405" width="9.5546875" style="401" customWidth="1"/>
    <col min="5406" max="5632" width="10.6640625" style="401"/>
    <col min="5633" max="5633" width="48.109375" style="401" bestFit="1" customWidth="1"/>
    <col min="5634" max="5634" width="12.33203125" style="401" customWidth="1"/>
    <col min="5635" max="5635" width="13.5546875" style="401" customWidth="1"/>
    <col min="5636" max="5636" width="13.33203125" style="401" customWidth="1"/>
    <col min="5637" max="5643" width="9.5546875" style="401" customWidth="1"/>
    <col min="5644" max="5644" width="10.33203125" style="401" bestFit="1" customWidth="1"/>
    <col min="5645" max="5648" width="9.5546875" style="401" customWidth="1"/>
    <col min="5649" max="5649" width="10.33203125" style="401" bestFit="1" customWidth="1"/>
    <col min="5650" max="5652" width="9.5546875" style="401" customWidth="1"/>
    <col min="5653" max="5653" width="5.6640625" style="401" customWidth="1"/>
    <col min="5654" max="5659" width="9.5546875" style="401" customWidth="1"/>
    <col min="5660" max="5660" width="8.6640625" style="401" bestFit="1" customWidth="1"/>
    <col min="5661" max="5661" width="9.5546875" style="401" customWidth="1"/>
    <col min="5662" max="5888" width="10.6640625" style="401"/>
    <col min="5889" max="5889" width="48.109375" style="401" bestFit="1" customWidth="1"/>
    <col min="5890" max="5890" width="12.33203125" style="401" customWidth="1"/>
    <col min="5891" max="5891" width="13.5546875" style="401" customWidth="1"/>
    <col min="5892" max="5892" width="13.33203125" style="401" customWidth="1"/>
    <col min="5893" max="5899" width="9.5546875" style="401" customWidth="1"/>
    <col min="5900" max="5900" width="10.33203125" style="401" bestFit="1" customWidth="1"/>
    <col min="5901" max="5904" width="9.5546875" style="401" customWidth="1"/>
    <col min="5905" max="5905" width="10.33203125" style="401" bestFit="1" customWidth="1"/>
    <col min="5906" max="5908" width="9.5546875" style="401" customWidth="1"/>
    <col min="5909" max="5909" width="5.6640625" style="401" customWidth="1"/>
    <col min="5910" max="5915" width="9.5546875" style="401" customWidth="1"/>
    <col min="5916" max="5916" width="8.6640625" style="401" bestFit="1" customWidth="1"/>
    <col min="5917" max="5917" width="9.5546875" style="401" customWidth="1"/>
    <col min="5918" max="6144" width="10.6640625" style="401"/>
    <col min="6145" max="6145" width="48.109375" style="401" bestFit="1" customWidth="1"/>
    <col min="6146" max="6146" width="12.33203125" style="401" customWidth="1"/>
    <col min="6147" max="6147" width="13.5546875" style="401" customWidth="1"/>
    <col min="6148" max="6148" width="13.33203125" style="401" customWidth="1"/>
    <col min="6149" max="6155" width="9.5546875" style="401" customWidth="1"/>
    <col min="6156" max="6156" width="10.33203125" style="401" bestFit="1" customWidth="1"/>
    <col min="6157" max="6160" width="9.5546875" style="401" customWidth="1"/>
    <col min="6161" max="6161" width="10.33203125" style="401" bestFit="1" customWidth="1"/>
    <col min="6162" max="6164" width="9.5546875" style="401" customWidth="1"/>
    <col min="6165" max="6165" width="5.6640625" style="401" customWidth="1"/>
    <col min="6166" max="6171" width="9.5546875" style="401" customWidth="1"/>
    <col min="6172" max="6172" width="8.6640625" style="401" bestFit="1" customWidth="1"/>
    <col min="6173" max="6173" width="9.5546875" style="401" customWidth="1"/>
    <col min="6174" max="6400" width="10.6640625" style="401"/>
    <col min="6401" max="6401" width="48.109375" style="401" bestFit="1" customWidth="1"/>
    <col min="6402" max="6402" width="12.33203125" style="401" customWidth="1"/>
    <col min="6403" max="6403" width="13.5546875" style="401" customWidth="1"/>
    <col min="6404" max="6404" width="13.33203125" style="401" customWidth="1"/>
    <col min="6405" max="6411" width="9.5546875" style="401" customWidth="1"/>
    <col min="6412" max="6412" width="10.33203125" style="401" bestFit="1" customWidth="1"/>
    <col min="6413" max="6416" width="9.5546875" style="401" customWidth="1"/>
    <col min="6417" max="6417" width="10.33203125" style="401" bestFit="1" customWidth="1"/>
    <col min="6418" max="6420" width="9.5546875" style="401" customWidth="1"/>
    <col min="6421" max="6421" width="5.6640625" style="401" customWidth="1"/>
    <col min="6422" max="6427" width="9.5546875" style="401" customWidth="1"/>
    <col min="6428" max="6428" width="8.6640625" style="401" bestFit="1" customWidth="1"/>
    <col min="6429" max="6429" width="9.5546875" style="401" customWidth="1"/>
    <col min="6430" max="6656" width="10.6640625" style="401"/>
    <col min="6657" max="6657" width="48.109375" style="401" bestFit="1" customWidth="1"/>
    <col min="6658" max="6658" width="12.33203125" style="401" customWidth="1"/>
    <col min="6659" max="6659" width="13.5546875" style="401" customWidth="1"/>
    <col min="6660" max="6660" width="13.33203125" style="401" customWidth="1"/>
    <col min="6661" max="6667" width="9.5546875" style="401" customWidth="1"/>
    <col min="6668" max="6668" width="10.33203125" style="401" bestFit="1" customWidth="1"/>
    <col min="6669" max="6672" width="9.5546875" style="401" customWidth="1"/>
    <col min="6673" max="6673" width="10.33203125" style="401" bestFit="1" customWidth="1"/>
    <col min="6674" max="6676" width="9.5546875" style="401" customWidth="1"/>
    <col min="6677" max="6677" width="5.6640625" style="401" customWidth="1"/>
    <col min="6678" max="6683" width="9.5546875" style="401" customWidth="1"/>
    <col min="6684" max="6684" width="8.6640625" style="401" bestFit="1" customWidth="1"/>
    <col min="6685" max="6685" width="9.5546875" style="401" customWidth="1"/>
    <col min="6686" max="6912" width="10.6640625" style="401"/>
    <col min="6913" max="6913" width="48.109375" style="401" bestFit="1" customWidth="1"/>
    <col min="6914" max="6914" width="12.33203125" style="401" customWidth="1"/>
    <col min="6915" max="6915" width="13.5546875" style="401" customWidth="1"/>
    <col min="6916" max="6916" width="13.33203125" style="401" customWidth="1"/>
    <col min="6917" max="6923" width="9.5546875" style="401" customWidth="1"/>
    <col min="6924" max="6924" width="10.33203125" style="401" bestFit="1" customWidth="1"/>
    <col min="6925" max="6928" width="9.5546875" style="401" customWidth="1"/>
    <col min="6929" max="6929" width="10.33203125" style="401" bestFit="1" customWidth="1"/>
    <col min="6930" max="6932" width="9.5546875" style="401" customWidth="1"/>
    <col min="6933" max="6933" width="5.6640625" style="401" customWidth="1"/>
    <col min="6934" max="6939" width="9.5546875" style="401" customWidth="1"/>
    <col min="6940" max="6940" width="8.6640625" style="401" bestFit="1" customWidth="1"/>
    <col min="6941" max="6941" width="9.5546875" style="401" customWidth="1"/>
    <col min="6942" max="7168" width="10.6640625" style="401"/>
    <col min="7169" max="7169" width="48.109375" style="401" bestFit="1" customWidth="1"/>
    <col min="7170" max="7170" width="12.33203125" style="401" customWidth="1"/>
    <col min="7171" max="7171" width="13.5546875" style="401" customWidth="1"/>
    <col min="7172" max="7172" width="13.33203125" style="401" customWidth="1"/>
    <col min="7173" max="7179" width="9.5546875" style="401" customWidth="1"/>
    <col min="7180" max="7180" width="10.33203125" style="401" bestFit="1" customWidth="1"/>
    <col min="7181" max="7184" width="9.5546875" style="401" customWidth="1"/>
    <col min="7185" max="7185" width="10.33203125" style="401" bestFit="1" customWidth="1"/>
    <col min="7186" max="7188" width="9.5546875" style="401" customWidth="1"/>
    <col min="7189" max="7189" width="5.6640625" style="401" customWidth="1"/>
    <col min="7190" max="7195" width="9.5546875" style="401" customWidth="1"/>
    <col min="7196" max="7196" width="8.6640625" style="401" bestFit="1" customWidth="1"/>
    <col min="7197" max="7197" width="9.5546875" style="401" customWidth="1"/>
    <col min="7198" max="7424" width="10.6640625" style="401"/>
    <col min="7425" max="7425" width="48.109375" style="401" bestFit="1" customWidth="1"/>
    <col min="7426" max="7426" width="12.33203125" style="401" customWidth="1"/>
    <col min="7427" max="7427" width="13.5546875" style="401" customWidth="1"/>
    <col min="7428" max="7428" width="13.33203125" style="401" customWidth="1"/>
    <col min="7429" max="7435" width="9.5546875" style="401" customWidth="1"/>
    <col min="7436" max="7436" width="10.33203125" style="401" bestFit="1" customWidth="1"/>
    <col min="7437" max="7440" width="9.5546875" style="401" customWidth="1"/>
    <col min="7441" max="7441" width="10.33203125" style="401" bestFit="1" customWidth="1"/>
    <col min="7442" max="7444" width="9.5546875" style="401" customWidth="1"/>
    <col min="7445" max="7445" width="5.6640625" style="401" customWidth="1"/>
    <col min="7446" max="7451" width="9.5546875" style="401" customWidth="1"/>
    <col min="7452" max="7452" width="8.6640625" style="401" bestFit="1" customWidth="1"/>
    <col min="7453" max="7453" width="9.5546875" style="401" customWidth="1"/>
    <col min="7454" max="7680" width="10.6640625" style="401"/>
    <col min="7681" max="7681" width="48.109375" style="401" bestFit="1" customWidth="1"/>
    <col min="7682" max="7682" width="12.33203125" style="401" customWidth="1"/>
    <col min="7683" max="7683" width="13.5546875" style="401" customWidth="1"/>
    <col min="7684" max="7684" width="13.33203125" style="401" customWidth="1"/>
    <col min="7685" max="7691" width="9.5546875" style="401" customWidth="1"/>
    <col min="7692" max="7692" width="10.33203125" style="401" bestFit="1" customWidth="1"/>
    <col min="7693" max="7696" width="9.5546875" style="401" customWidth="1"/>
    <col min="7697" max="7697" width="10.33203125" style="401" bestFit="1" customWidth="1"/>
    <col min="7698" max="7700" width="9.5546875" style="401" customWidth="1"/>
    <col min="7701" max="7701" width="5.6640625" style="401" customWidth="1"/>
    <col min="7702" max="7707" width="9.5546875" style="401" customWidth="1"/>
    <col min="7708" max="7708" width="8.6640625" style="401" bestFit="1" customWidth="1"/>
    <col min="7709" max="7709" width="9.5546875" style="401" customWidth="1"/>
    <col min="7710" max="7936" width="10.6640625" style="401"/>
    <col min="7937" max="7937" width="48.109375" style="401" bestFit="1" customWidth="1"/>
    <col min="7938" max="7938" width="12.33203125" style="401" customWidth="1"/>
    <col min="7939" max="7939" width="13.5546875" style="401" customWidth="1"/>
    <col min="7940" max="7940" width="13.33203125" style="401" customWidth="1"/>
    <col min="7941" max="7947" width="9.5546875" style="401" customWidth="1"/>
    <col min="7948" max="7948" width="10.33203125" style="401" bestFit="1" customWidth="1"/>
    <col min="7949" max="7952" width="9.5546875" style="401" customWidth="1"/>
    <col min="7953" max="7953" width="10.33203125" style="401" bestFit="1" customWidth="1"/>
    <col min="7954" max="7956" width="9.5546875" style="401" customWidth="1"/>
    <col min="7957" max="7957" width="5.6640625" style="401" customWidth="1"/>
    <col min="7958" max="7963" width="9.5546875" style="401" customWidth="1"/>
    <col min="7964" max="7964" width="8.6640625" style="401" bestFit="1" customWidth="1"/>
    <col min="7965" max="7965" width="9.5546875" style="401" customWidth="1"/>
    <col min="7966" max="8192" width="10.6640625" style="401"/>
    <col min="8193" max="8193" width="48.109375" style="401" bestFit="1" customWidth="1"/>
    <col min="8194" max="8194" width="12.33203125" style="401" customWidth="1"/>
    <col min="8195" max="8195" width="13.5546875" style="401" customWidth="1"/>
    <col min="8196" max="8196" width="13.33203125" style="401" customWidth="1"/>
    <col min="8197" max="8203" width="9.5546875" style="401" customWidth="1"/>
    <col min="8204" max="8204" width="10.33203125" style="401" bestFit="1" customWidth="1"/>
    <col min="8205" max="8208" width="9.5546875" style="401" customWidth="1"/>
    <col min="8209" max="8209" width="10.33203125" style="401" bestFit="1" customWidth="1"/>
    <col min="8210" max="8212" width="9.5546875" style="401" customWidth="1"/>
    <col min="8213" max="8213" width="5.6640625" style="401" customWidth="1"/>
    <col min="8214" max="8219" width="9.5546875" style="401" customWidth="1"/>
    <col min="8220" max="8220" width="8.6640625" style="401" bestFit="1" customWidth="1"/>
    <col min="8221" max="8221" width="9.5546875" style="401" customWidth="1"/>
    <col min="8222" max="8448" width="10.6640625" style="401"/>
    <col min="8449" max="8449" width="48.109375" style="401" bestFit="1" customWidth="1"/>
    <col min="8450" max="8450" width="12.33203125" style="401" customWidth="1"/>
    <col min="8451" max="8451" width="13.5546875" style="401" customWidth="1"/>
    <col min="8452" max="8452" width="13.33203125" style="401" customWidth="1"/>
    <col min="8453" max="8459" width="9.5546875" style="401" customWidth="1"/>
    <col min="8460" max="8460" width="10.33203125" style="401" bestFit="1" customWidth="1"/>
    <col min="8461" max="8464" width="9.5546875" style="401" customWidth="1"/>
    <col min="8465" max="8465" width="10.33203125" style="401" bestFit="1" customWidth="1"/>
    <col min="8466" max="8468" width="9.5546875" style="401" customWidth="1"/>
    <col min="8469" max="8469" width="5.6640625" style="401" customWidth="1"/>
    <col min="8470" max="8475" width="9.5546875" style="401" customWidth="1"/>
    <col min="8476" max="8476" width="8.6640625" style="401" bestFit="1" customWidth="1"/>
    <col min="8477" max="8477" width="9.5546875" style="401" customWidth="1"/>
    <col min="8478" max="8704" width="10.6640625" style="401"/>
    <col min="8705" max="8705" width="48.109375" style="401" bestFit="1" customWidth="1"/>
    <col min="8706" max="8706" width="12.33203125" style="401" customWidth="1"/>
    <col min="8707" max="8707" width="13.5546875" style="401" customWidth="1"/>
    <col min="8708" max="8708" width="13.33203125" style="401" customWidth="1"/>
    <col min="8709" max="8715" width="9.5546875" style="401" customWidth="1"/>
    <col min="8716" max="8716" width="10.33203125" style="401" bestFit="1" customWidth="1"/>
    <col min="8717" max="8720" width="9.5546875" style="401" customWidth="1"/>
    <col min="8721" max="8721" width="10.33203125" style="401" bestFit="1" customWidth="1"/>
    <col min="8722" max="8724" width="9.5546875" style="401" customWidth="1"/>
    <col min="8725" max="8725" width="5.6640625" style="401" customWidth="1"/>
    <col min="8726" max="8731" width="9.5546875" style="401" customWidth="1"/>
    <col min="8732" max="8732" width="8.6640625" style="401" bestFit="1" customWidth="1"/>
    <col min="8733" max="8733" width="9.5546875" style="401" customWidth="1"/>
    <col min="8734" max="8960" width="10.6640625" style="401"/>
    <col min="8961" max="8961" width="48.109375" style="401" bestFit="1" customWidth="1"/>
    <col min="8962" max="8962" width="12.33203125" style="401" customWidth="1"/>
    <col min="8963" max="8963" width="13.5546875" style="401" customWidth="1"/>
    <col min="8964" max="8964" width="13.33203125" style="401" customWidth="1"/>
    <col min="8965" max="8971" width="9.5546875" style="401" customWidth="1"/>
    <col min="8972" max="8972" width="10.33203125" style="401" bestFit="1" customWidth="1"/>
    <col min="8973" max="8976" width="9.5546875" style="401" customWidth="1"/>
    <col min="8977" max="8977" width="10.33203125" style="401" bestFit="1" customWidth="1"/>
    <col min="8978" max="8980" width="9.5546875" style="401" customWidth="1"/>
    <col min="8981" max="8981" width="5.6640625" style="401" customWidth="1"/>
    <col min="8982" max="8987" width="9.5546875" style="401" customWidth="1"/>
    <col min="8988" max="8988" width="8.6640625" style="401" bestFit="1" customWidth="1"/>
    <col min="8989" max="8989" width="9.5546875" style="401" customWidth="1"/>
    <col min="8990" max="9216" width="10.6640625" style="401"/>
    <col min="9217" max="9217" width="48.109375" style="401" bestFit="1" customWidth="1"/>
    <col min="9218" max="9218" width="12.33203125" style="401" customWidth="1"/>
    <col min="9219" max="9219" width="13.5546875" style="401" customWidth="1"/>
    <col min="9220" max="9220" width="13.33203125" style="401" customWidth="1"/>
    <col min="9221" max="9227" width="9.5546875" style="401" customWidth="1"/>
    <col min="9228" max="9228" width="10.33203125" style="401" bestFit="1" customWidth="1"/>
    <col min="9229" max="9232" width="9.5546875" style="401" customWidth="1"/>
    <col min="9233" max="9233" width="10.33203125" style="401" bestFit="1" customWidth="1"/>
    <col min="9234" max="9236" width="9.5546875" style="401" customWidth="1"/>
    <col min="9237" max="9237" width="5.6640625" style="401" customWidth="1"/>
    <col min="9238" max="9243" width="9.5546875" style="401" customWidth="1"/>
    <col min="9244" max="9244" width="8.6640625" style="401" bestFit="1" customWidth="1"/>
    <col min="9245" max="9245" width="9.5546875" style="401" customWidth="1"/>
    <col min="9246" max="9472" width="10.6640625" style="401"/>
    <col min="9473" max="9473" width="48.109375" style="401" bestFit="1" customWidth="1"/>
    <col min="9474" max="9474" width="12.33203125" style="401" customWidth="1"/>
    <col min="9475" max="9475" width="13.5546875" style="401" customWidth="1"/>
    <col min="9476" max="9476" width="13.33203125" style="401" customWidth="1"/>
    <col min="9477" max="9483" width="9.5546875" style="401" customWidth="1"/>
    <col min="9484" max="9484" width="10.33203125" style="401" bestFit="1" customWidth="1"/>
    <col min="9485" max="9488" width="9.5546875" style="401" customWidth="1"/>
    <col min="9489" max="9489" width="10.33203125" style="401" bestFit="1" customWidth="1"/>
    <col min="9490" max="9492" width="9.5546875" style="401" customWidth="1"/>
    <col min="9493" max="9493" width="5.6640625" style="401" customWidth="1"/>
    <col min="9494" max="9499" width="9.5546875" style="401" customWidth="1"/>
    <col min="9500" max="9500" width="8.6640625" style="401" bestFit="1" customWidth="1"/>
    <col min="9501" max="9501" width="9.5546875" style="401" customWidth="1"/>
    <col min="9502" max="9728" width="10.6640625" style="401"/>
    <col min="9729" max="9729" width="48.109375" style="401" bestFit="1" customWidth="1"/>
    <col min="9730" max="9730" width="12.33203125" style="401" customWidth="1"/>
    <col min="9731" max="9731" width="13.5546875" style="401" customWidth="1"/>
    <col min="9732" max="9732" width="13.33203125" style="401" customWidth="1"/>
    <col min="9733" max="9739" width="9.5546875" style="401" customWidth="1"/>
    <col min="9740" max="9740" width="10.33203125" style="401" bestFit="1" customWidth="1"/>
    <col min="9741" max="9744" width="9.5546875" style="401" customWidth="1"/>
    <col min="9745" max="9745" width="10.33203125" style="401" bestFit="1" customWidth="1"/>
    <col min="9746" max="9748" width="9.5546875" style="401" customWidth="1"/>
    <col min="9749" max="9749" width="5.6640625" style="401" customWidth="1"/>
    <col min="9750" max="9755" width="9.5546875" style="401" customWidth="1"/>
    <col min="9756" max="9756" width="8.6640625" style="401" bestFit="1" customWidth="1"/>
    <col min="9757" max="9757" width="9.5546875" style="401" customWidth="1"/>
    <col min="9758" max="9984" width="10.6640625" style="401"/>
    <col min="9985" max="9985" width="48.109375" style="401" bestFit="1" customWidth="1"/>
    <col min="9986" max="9986" width="12.33203125" style="401" customWidth="1"/>
    <col min="9987" max="9987" width="13.5546875" style="401" customWidth="1"/>
    <col min="9988" max="9988" width="13.33203125" style="401" customWidth="1"/>
    <col min="9989" max="9995" width="9.5546875" style="401" customWidth="1"/>
    <col min="9996" max="9996" width="10.33203125" style="401" bestFit="1" customWidth="1"/>
    <col min="9997" max="10000" width="9.5546875" style="401" customWidth="1"/>
    <col min="10001" max="10001" width="10.33203125" style="401" bestFit="1" customWidth="1"/>
    <col min="10002" max="10004" width="9.5546875" style="401" customWidth="1"/>
    <col min="10005" max="10005" width="5.6640625" style="401" customWidth="1"/>
    <col min="10006" max="10011" width="9.5546875" style="401" customWidth="1"/>
    <col min="10012" max="10012" width="8.6640625" style="401" bestFit="1" customWidth="1"/>
    <col min="10013" max="10013" width="9.5546875" style="401" customWidth="1"/>
    <col min="10014" max="10240" width="10.6640625" style="401"/>
    <col min="10241" max="10241" width="48.109375" style="401" bestFit="1" customWidth="1"/>
    <col min="10242" max="10242" width="12.33203125" style="401" customWidth="1"/>
    <col min="10243" max="10243" width="13.5546875" style="401" customWidth="1"/>
    <col min="10244" max="10244" width="13.33203125" style="401" customWidth="1"/>
    <col min="10245" max="10251" width="9.5546875" style="401" customWidth="1"/>
    <col min="10252" max="10252" width="10.33203125" style="401" bestFit="1" customWidth="1"/>
    <col min="10253" max="10256" width="9.5546875" style="401" customWidth="1"/>
    <col min="10257" max="10257" width="10.33203125" style="401" bestFit="1" customWidth="1"/>
    <col min="10258" max="10260" width="9.5546875" style="401" customWidth="1"/>
    <col min="10261" max="10261" width="5.6640625" style="401" customWidth="1"/>
    <col min="10262" max="10267" width="9.5546875" style="401" customWidth="1"/>
    <col min="10268" max="10268" width="8.6640625" style="401" bestFit="1" customWidth="1"/>
    <col min="10269" max="10269" width="9.5546875" style="401" customWidth="1"/>
    <col min="10270" max="10496" width="10.6640625" style="401"/>
    <col min="10497" max="10497" width="48.109375" style="401" bestFit="1" customWidth="1"/>
    <col min="10498" max="10498" width="12.33203125" style="401" customWidth="1"/>
    <col min="10499" max="10499" width="13.5546875" style="401" customWidth="1"/>
    <col min="10500" max="10500" width="13.33203125" style="401" customWidth="1"/>
    <col min="10501" max="10507" width="9.5546875" style="401" customWidth="1"/>
    <col min="10508" max="10508" width="10.33203125" style="401" bestFit="1" customWidth="1"/>
    <col min="10509" max="10512" width="9.5546875" style="401" customWidth="1"/>
    <col min="10513" max="10513" width="10.33203125" style="401" bestFit="1" customWidth="1"/>
    <col min="10514" max="10516" width="9.5546875" style="401" customWidth="1"/>
    <col min="10517" max="10517" width="5.6640625" style="401" customWidth="1"/>
    <col min="10518" max="10523" width="9.5546875" style="401" customWidth="1"/>
    <col min="10524" max="10524" width="8.6640625" style="401" bestFit="1" customWidth="1"/>
    <col min="10525" max="10525" width="9.5546875" style="401" customWidth="1"/>
    <col min="10526" max="10752" width="10.6640625" style="401"/>
    <col min="10753" max="10753" width="48.109375" style="401" bestFit="1" customWidth="1"/>
    <col min="10754" max="10754" width="12.33203125" style="401" customWidth="1"/>
    <col min="10755" max="10755" width="13.5546875" style="401" customWidth="1"/>
    <col min="10756" max="10756" width="13.33203125" style="401" customWidth="1"/>
    <col min="10757" max="10763" width="9.5546875" style="401" customWidth="1"/>
    <col min="10764" max="10764" width="10.33203125" style="401" bestFit="1" customWidth="1"/>
    <col min="10765" max="10768" width="9.5546875" style="401" customWidth="1"/>
    <col min="10769" max="10769" width="10.33203125" style="401" bestFit="1" customWidth="1"/>
    <col min="10770" max="10772" width="9.5546875" style="401" customWidth="1"/>
    <col min="10773" max="10773" width="5.6640625" style="401" customWidth="1"/>
    <col min="10774" max="10779" width="9.5546875" style="401" customWidth="1"/>
    <col min="10780" max="10780" width="8.6640625" style="401" bestFit="1" customWidth="1"/>
    <col min="10781" max="10781" width="9.5546875" style="401" customWidth="1"/>
    <col min="10782" max="11008" width="10.6640625" style="401"/>
    <col min="11009" max="11009" width="48.109375" style="401" bestFit="1" customWidth="1"/>
    <col min="11010" max="11010" width="12.33203125" style="401" customWidth="1"/>
    <col min="11011" max="11011" width="13.5546875" style="401" customWidth="1"/>
    <col min="11012" max="11012" width="13.33203125" style="401" customWidth="1"/>
    <col min="11013" max="11019" width="9.5546875" style="401" customWidth="1"/>
    <col min="11020" max="11020" width="10.33203125" style="401" bestFit="1" customWidth="1"/>
    <col min="11021" max="11024" width="9.5546875" style="401" customWidth="1"/>
    <col min="11025" max="11025" width="10.33203125" style="401" bestFit="1" customWidth="1"/>
    <col min="11026" max="11028" width="9.5546875" style="401" customWidth="1"/>
    <col min="11029" max="11029" width="5.6640625" style="401" customWidth="1"/>
    <col min="11030" max="11035" width="9.5546875" style="401" customWidth="1"/>
    <col min="11036" max="11036" width="8.6640625" style="401" bestFit="1" customWidth="1"/>
    <col min="11037" max="11037" width="9.5546875" style="401" customWidth="1"/>
    <col min="11038" max="11264" width="10.6640625" style="401"/>
    <col min="11265" max="11265" width="48.109375" style="401" bestFit="1" customWidth="1"/>
    <col min="11266" max="11266" width="12.33203125" style="401" customWidth="1"/>
    <col min="11267" max="11267" width="13.5546875" style="401" customWidth="1"/>
    <col min="11268" max="11268" width="13.33203125" style="401" customWidth="1"/>
    <col min="11269" max="11275" width="9.5546875" style="401" customWidth="1"/>
    <col min="11276" max="11276" width="10.33203125" style="401" bestFit="1" customWidth="1"/>
    <col min="11277" max="11280" width="9.5546875" style="401" customWidth="1"/>
    <col min="11281" max="11281" width="10.33203125" style="401" bestFit="1" customWidth="1"/>
    <col min="11282" max="11284" width="9.5546875" style="401" customWidth="1"/>
    <col min="11285" max="11285" width="5.6640625" style="401" customWidth="1"/>
    <col min="11286" max="11291" width="9.5546875" style="401" customWidth="1"/>
    <col min="11292" max="11292" width="8.6640625" style="401" bestFit="1" customWidth="1"/>
    <col min="11293" max="11293" width="9.5546875" style="401" customWidth="1"/>
    <col min="11294" max="11520" width="10.6640625" style="401"/>
    <col min="11521" max="11521" width="48.109375" style="401" bestFit="1" customWidth="1"/>
    <col min="11522" max="11522" width="12.33203125" style="401" customWidth="1"/>
    <col min="11523" max="11523" width="13.5546875" style="401" customWidth="1"/>
    <col min="11524" max="11524" width="13.33203125" style="401" customWidth="1"/>
    <col min="11525" max="11531" width="9.5546875" style="401" customWidth="1"/>
    <col min="11532" max="11532" width="10.33203125" style="401" bestFit="1" customWidth="1"/>
    <col min="11533" max="11536" width="9.5546875" style="401" customWidth="1"/>
    <col min="11537" max="11537" width="10.33203125" style="401" bestFit="1" customWidth="1"/>
    <col min="11538" max="11540" width="9.5546875" style="401" customWidth="1"/>
    <col min="11541" max="11541" width="5.6640625" style="401" customWidth="1"/>
    <col min="11542" max="11547" width="9.5546875" style="401" customWidth="1"/>
    <col min="11548" max="11548" width="8.6640625" style="401" bestFit="1" customWidth="1"/>
    <col min="11549" max="11549" width="9.5546875" style="401" customWidth="1"/>
    <col min="11550" max="11776" width="10.6640625" style="401"/>
    <col min="11777" max="11777" width="48.109375" style="401" bestFit="1" customWidth="1"/>
    <col min="11778" max="11778" width="12.33203125" style="401" customWidth="1"/>
    <col min="11779" max="11779" width="13.5546875" style="401" customWidth="1"/>
    <col min="11780" max="11780" width="13.33203125" style="401" customWidth="1"/>
    <col min="11781" max="11787" width="9.5546875" style="401" customWidth="1"/>
    <col min="11788" max="11788" width="10.33203125" style="401" bestFit="1" customWidth="1"/>
    <col min="11789" max="11792" width="9.5546875" style="401" customWidth="1"/>
    <col min="11793" max="11793" width="10.33203125" style="401" bestFit="1" customWidth="1"/>
    <col min="11794" max="11796" width="9.5546875" style="401" customWidth="1"/>
    <col min="11797" max="11797" width="5.6640625" style="401" customWidth="1"/>
    <col min="11798" max="11803" width="9.5546875" style="401" customWidth="1"/>
    <col min="11804" max="11804" width="8.6640625" style="401" bestFit="1" customWidth="1"/>
    <col min="11805" max="11805" width="9.5546875" style="401" customWidth="1"/>
    <col min="11806" max="12032" width="10.6640625" style="401"/>
    <col min="12033" max="12033" width="48.109375" style="401" bestFit="1" customWidth="1"/>
    <col min="12034" max="12034" width="12.33203125" style="401" customWidth="1"/>
    <col min="12035" max="12035" width="13.5546875" style="401" customWidth="1"/>
    <col min="12036" max="12036" width="13.33203125" style="401" customWidth="1"/>
    <col min="12037" max="12043" width="9.5546875" style="401" customWidth="1"/>
    <col min="12044" max="12044" width="10.33203125" style="401" bestFit="1" customWidth="1"/>
    <col min="12045" max="12048" width="9.5546875" style="401" customWidth="1"/>
    <col min="12049" max="12049" width="10.33203125" style="401" bestFit="1" customWidth="1"/>
    <col min="12050" max="12052" width="9.5546875" style="401" customWidth="1"/>
    <col min="12053" max="12053" width="5.6640625" style="401" customWidth="1"/>
    <col min="12054" max="12059" width="9.5546875" style="401" customWidth="1"/>
    <col min="12060" max="12060" width="8.6640625" style="401" bestFit="1" customWidth="1"/>
    <col min="12061" max="12061" width="9.5546875" style="401" customWidth="1"/>
    <col min="12062" max="12288" width="10.6640625" style="401"/>
    <col min="12289" max="12289" width="48.109375" style="401" bestFit="1" customWidth="1"/>
    <col min="12290" max="12290" width="12.33203125" style="401" customWidth="1"/>
    <col min="12291" max="12291" width="13.5546875" style="401" customWidth="1"/>
    <col min="12292" max="12292" width="13.33203125" style="401" customWidth="1"/>
    <col min="12293" max="12299" width="9.5546875" style="401" customWidth="1"/>
    <col min="12300" max="12300" width="10.33203125" style="401" bestFit="1" customWidth="1"/>
    <col min="12301" max="12304" width="9.5546875" style="401" customWidth="1"/>
    <col min="12305" max="12305" width="10.33203125" style="401" bestFit="1" customWidth="1"/>
    <col min="12306" max="12308" width="9.5546875" style="401" customWidth="1"/>
    <col min="12309" max="12309" width="5.6640625" style="401" customWidth="1"/>
    <col min="12310" max="12315" width="9.5546875" style="401" customWidth="1"/>
    <col min="12316" max="12316" width="8.6640625" style="401" bestFit="1" customWidth="1"/>
    <col min="12317" max="12317" width="9.5546875" style="401" customWidth="1"/>
    <col min="12318" max="12544" width="10.6640625" style="401"/>
    <col min="12545" max="12545" width="48.109375" style="401" bestFit="1" customWidth="1"/>
    <col min="12546" max="12546" width="12.33203125" style="401" customWidth="1"/>
    <col min="12547" max="12547" width="13.5546875" style="401" customWidth="1"/>
    <col min="12548" max="12548" width="13.33203125" style="401" customWidth="1"/>
    <col min="12549" max="12555" width="9.5546875" style="401" customWidth="1"/>
    <col min="12556" max="12556" width="10.33203125" style="401" bestFit="1" customWidth="1"/>
    <col min="12557" max="12560" width="9.5546875" style="401" customWidth="1"/>
    <col min="12561" max="12561" width="10.33203125" style="401" bestFit="1" customWidth="1"/>
    <col min="12562" max="12564" width="9.5546875" style="401" customWidth="1"/>
    <col min="12565" max="12565" width="5.6640625" style="401" customWidth="1"/>
    <col min="12566" max="12571" width="9.5546875" style="401" customWidth="1"/>
    <col min="12572" max="12572" width="8.6640625" style="401" bestFit="1" customWidth="1"/>
    <col min="12573" max="12573" width="9.5546875" style="401" customWidth="1"/>
    <col min="12574" max="12800" width="10.6640625" style="401"/>
    <col min="12801" max="12801" width="48.109375" style="401" bestFit="1" customWidth="1"/>
    <col min="12802" max="12802" width="12.33203125" style="401" customWidth="1"/>
    <col min="12803" max="12803" width="13.5546875" style="401" customWidth="1"/>
    <col min="12804" max="12804" width="13.33203125" style="401" customWidth="1"/>
    <col min="12805" max="12811" width="9.5546875" style="401" customWidth="1"/>
    <col min="12812" max="12812" width="10.33203125" style="401" bestFit="1" customWidth="1"/>
    <col min="12813" max="12816" width="9.5546875" style="401" customWidth="1"/>
    <col min="12817" max="12817" width="10.33203125" style="401" bestFit="1" customWidth="1"/>
    <col min="12818" max="12820" width="9.5546875" style="401" customWidth="1"/>
    <col min="12821" max="12821" width="5.6640625" style="401" customWidth="1"/>
    <col min="12822" max="12827" width="9.5546875" style="401" customWidth="1"/>
    <col min="12828" max="12828" width="8.6640625" style="401" bestFit="1" customWidth="1"/>
    <col min="12829" max="12829" width="9.5546875" style="401" customWidth="1"/>
    <col min="12830" max="13056" width="10.6640625" style="401"/>
    <col min="13057" max="13057" width="48.109375" style="401" bestFit="1" customWidth="1"/>
    <col min="13058" max="13058" width="12.33203125" style="401" customWidth="1"/>
    <col min="13059" max="13059" width="13.5546875" style="401" customWidth="1"/>
    <col min="13060" max="13060" width="13.33203125" style="401" customWidth="1"/>
    <col min="13061" max="13067" width="9.5546875" style="401" customWidth="1"/>
    <col min="13068" max="13068" width="10.33203125" style="401" bestFit="1" customWidth="1"/>
    <col min="13069" max="13072" width="9.5546875" style="401" customWidth="1"/>
    <col min="13073" max="13073" width="10.33203125" style="401" bestFit="1" customWidth="1"/>
    <col min="13074" max="13076" width="9.5546875" style="401" customWidth="1"/>
    <col min="13077" max="13077" width="5.6640625" style="401" customWidth="1"/>
    <col min="13078" max="13083" width="9.5546875" style="401" customWidth="1"/>
    <col min="13084" max="13084" width="8.6640625" style="401" bestFit="1" customWidth="1"/>
    <col min="13085" max="13085" width="9.5546875" style="401" customWidth="1"/>
    <col min="13086" max="13312" width="10.6640625" style="401"/>
    <col min="13313" max="13313" width="48.109375" style="401" bestFit="1" customWidth="1"/>
    <col min="13314" max="13314" width="12.33203125" style="401" customWidth="1"/>
    <col min="13315" max="13315" width="13.5546875" style="401" customWidth="1"/>
    <col min="13316" max="13316" width="13.33203125" style="401" customWidth="1"/>
    <col min="13317" max="13323" width="9.5546875" style="401" customWidth="1"/>
    <col min="13324" max="13324" width="10.33203125" style="401" bestFit="1" customWidth="1"/>
    <col min="13325" max="13328" width="9.5546875" style="401" customWidth="1"/>
    <col min="13329" max="13329" width="10.33203125" style="401" bestFit="1" customWidth="1"/>
    <col min="13330" max="13332" width="9.5546875" style="401" customWidth="1"/>
    <col min="13333" max="13333" width="5.6640625" style="401" customWidth="1"/>
    <col min="13334" max="13339" width="9.5546875" style="401" customWidth="1"/>
    <col min="13340" max="13340" width="8.6640625" style="401" bestFit="1" customWidth="1"/>
    <col min="13341" max="13341" width="9.5546875" style="401" customWidth="1"/>
    <col min="13342" max="13568" width="10.6640625" style="401"/>
    <col min="13569" max="13569" width="48.109375" style="401" bestFit="1" customWidth="1"/>
    <col min="13570" max="13570" width="12.33203125" style="401" customWidth="1"/>
    <col min="13571" max="13571" width="13.5546875" style="401" customWidth="1"/>
    <col min="13572" max="13572" width="13.33203125" style="401" customWidth="1"/>
    <col min="13573" max="13579" width="9.5546875" style="401" customWidth="1"/>
    <col min="13580" max="13580" width="10.33203125" style="401" bestFit="1" customWidth="1"/>
    <col min="13581" max="13584" width="9.5546875" style="401" customWidth="1"/>
    <col min="13585" max="13585" width="10.33203125" style="401" bestFit="1" customWidth="1"/>
    <col min="13586" max="13588" width="9.5546875" style="401" customWidth="1"/>
    <col min="13589" max="13589" width="5.6640625" style="401" customWidth="1"/>
    <col min="13590" max="13595" width="9.5546875" style="401" customWidth="1"/>
    <col min="13596" max="13596" width="8.6640625" style="401" bestFit="1" customWidth="1"/>
    <col min="13597" max="13597" width="9.5546875" style="401" customWidth="1"/>
    <col min="13598" max="13824" width="10.6640625" style="401"/>
    <col min="13825" max="13825" width="48.109375" style="401" bestFit="1" customWidth="1"/>
    <col min="13826" max="13826" width="12.33203125" style="401" customWidth="1"/>
    <col min="13827" max="13827" width="13.5546875" style="401" customWidth="1"/>
    <col min="13828" max="13828" width="13.33203125" style="401" customWidth="1"/>
    <col min="13829" max="13835" width="9.5546875" style="401" customWidth="1"/>
    <col min="13836" max="13836" width="10.33203125" style="401" bestFit="1" customWidth="1"/>
    <col min="13837" max="13840" width="9.5546875" style="401" customWidth="1"/>
    <col min="13841" max="13841" width="10.33203125" style="401" bestFit="1" customWidth="1"/>
    <col min="13842" max="13844" width="9.5546875" style="401" customWidth="1"/>
    <col min="13845" max="13845" width="5.6640625" style="401" customWidth="1"/>
    <col min="13846" max="13851" width="9.5546875" style="401" customWidth="1"/>
    <col min="13852" max="13852" width="8.6640625" style="401" bestFit="1" customWidth="1"/>
    <col min="13853" max="13853" width="9.5546875" style="401" customWidth="1"/>
    <col min="13854" max="14080" width="10.6640625" style="401"/>
    <col min="14081" max="14081" width="48.109375" style="401" bestFit="1" customWidth="1"/>
    <col min="14082" max="14082" width="12.33203125" style="401" customWidth="1"/>
    <col min="14083" max="14083" width="13.5546875" style="401" customWidth="1"/>
    <col min="14084" max="14084" width="13.33203125" style="401" customWidth="1"/>
    <col min="14085" max="14091" width="9.5546875" style="401" customWidth="1"/>
    <col min="14092" max="14092" width="10.33203125" style="401" bestFit="1" customWidth="1"/>
    <col min="14093" max="14096" width="9.5546875" style="401" customWidth="1"/>
    <col min="14097" max="14097" width="10.33203125" style="401" bestFit="1" customWidth="1"/>
    <col min="14098" max="14100" width="9.5546875" style="401" customWidth="1"/>
    <col min="14101" max="14101" width="5.6640625" style="401" customWidth="1"/>
    <col min="14102" max="14107" width="9.5546875" style="401" customWidth="1"/>
    <col min="14108" max="14108" width="8.6640625" style="401" bestFit="1" customWidth="1"/>
    <col min="14109" max="14109" width="9.5546875" style="401" customWidth="1"/>
    <col min="14110" max="14336" width="10.6640625" style="401"/>
    <col min="14337" max="14337" width="48.109375" style="401" bestFit="1" customWidth="1"/>
    <col min="14338" max="14338" width="12.33203125" style="401" customWidth="1"/>
    <col min="14339" max="14339" width="13.5546875" style="401" customWidth="1"/>
    <col min="14340" max="14340" width="13.33203125" style="401" customWidth="1"/>
    <col min="14341" max="14347" width="9.5546875" style="401" customWidth="1"/>
    <col min="14348" max="14348" width="10.33203125" style="401" bestFit="1" customWidth="1"/>
    <col min="14349" max="14352" width="9.5546875" style="401" customWidth="1"/>
    <col min="14353" max="14353" width="10.33203125" style="401" bestFit="1" customWidth="1"/>
    <col min="14354" max="14356" width="9.5546875" style="401" customWidth="1"/>
    <col min="14357" max="14357" width="5.6640625" style="401" customWidth="1"/>
    <col min="14358" max="14363" width="9.5546875" style="401" customWidth="1"/>
    <col min="14364" max="14364" width="8.6640625" style="401" bestFit="1" customWidth="1"/>
    <col min="14365" max="14365" width="9.5546875" style="401" customWidth="1"/>
    <col min="14366" max="14592" width="10.6640625" style="401"/>
    <col min="14593" max="14593" width="48.109375" style="401" bestFit="1" customWidth="1"/>
    <col min="14594" max="14594" width="12.33203125" style="401" customWidth="1"/>
    <col min="14595" max="14595" width="13.5546875" style="401" customWidth="1"/>
    <col min="14596" max="14596" width="13.33203125" style="401" customWidth="1"/>
    <col min="14597" max="14603" width="9.5546875" style="401" customWidth="1"/>
    <col min="14604" max="14604" width="10.33203125" style="401" bestFit="1" customWidth="1"/>
    <col min="14605" max="14608" width="9.5546875" style="401" customWidth="1"/>
    <col min="14609" max="14609" width="10.33203125" style="401" bestFit="1" customWidth="1"/>
    <col min="14610" max="14612" width="9.5546875" style="401" customWidth="1"/>
    <col min="14613" max="14613" width="5.6640625" style="401" customWidth="1"/>
    <col min="14614" max="14619" width="9.5546875" style="401" customWidth="1"/>
    <col min="14620" max="14620" width="8.6640625" style="401" bestFit="1" customWidth="1"/>
    <col min="14621" max="14621" width="9.5546875" style="401" customWidth="1"/>
    <col min="14622" max="14848" width="10.6640625" style="401"/>
    <col min="14849" max="14849" width="48.109375" style="401" bestFit="1" customWidth="1"/>
    <col min="14850" max="14850" width="12.33203125" style="401" customWidth="1"/>
    <col min="14851" max="14851" width="13.5546875" style="401" customWidth="1"/>
    <col min="14852" max="14852" width="13.33203125" style="401" customWidth="1"/>
    <col min="14853" max="14859" width="9.5546875" style="401" customWidth="1"/>
    <col min="14860" max="14860" width="10.33203125" style="401" bestFit="1" customWidth="1"/>
    <col min="14861" max="14864" width="9.5546875" style="401" customWidth="1"/>
    <col min="14865" max="14865" width="10.33203125" style="401" bestFit="1" customWidth="1"/>
    <col min="14866" max="14868" width="9.5546875" style="401" customWidth="1"/>
    <col min="14869" max="14869" width="5.6640625" style="401" customWidth="1"/>
    <col min="14870" max="14875" width="9.5546875" style="401" customWidth="1"/>
    <col min="14876" max="14876" width="8.6640625" style="401" bestFit="1" customWidth="1"/>
    <col min="14877" max="14877" width="9.5546875" style="401" customWidth="1"/>
    <col min="14878" max="15104" width="10.6640625" style="401"/>
    <col min="15105" max="15105" width="48.109375" style="401" bestFit="1" customWidth="1"/>
    <col min="15106" max="15106" width="12.33203125" style="401" customWidth="1"/>
    <col min="15107" max="15107" width="13.5546875" style="401" customWidth="1"/>
    <col min="15108" max="15108" width="13.33203125" style="401" customWidth="1"/>
    <col min="15109" max="15115" width="9.5546875" style="401" customWidth="1"/>
    <col min="15116" max="15116" width="10.33203125" style="401" bestFit="1" customWidth="1"/>
    <col min="15117" max="15120" width="9.5546875" style="401" customWidth="1"/>
    <col min="15121" max="15121" width="10.33203125" style="401" bestFit="1" customWidth="1"/>
    <col min="15122" max="15124" width="9.5546875" style="401" customWidth="1"/>
    <col min="15125" max="15125" width="5.6640625" style="401" customWidth="1"/>
    <col min="15126" max="15131" width="9.5546875" style="401" customWidth="1"/>
    <col min="15132" max="15132" width="8.6640625" style="401" bestFit="1" customWidth="1"/>
    <col min="15133" max="15133" width="9.5546875" style="401" customWidth="1"/>
    <col min="15134" max="15360" width="10.6640625" style="401"/>
    <col min="15361" max="15361" width="48.109375" style="401" bestFit="1" customWidth="1"/>
    <col min="15362" max="15362" width="12.33203125" style="401" customWidth="1"/>
    <col min="15363" max="15363" width="13.5546875" style="401" customWidth="1"/>
    <col min="15364" max="15364" width="13.33203125" style="401" customWidth="1"/>
    <col min="15365" max="15371" width="9.5546875" style="401" customWidth="1"/>
    <col min="15372" max="15372" width="10.33203125" style="401" bestFit="1" customWidth="1"/>
    <col min="15373" max="15376" width="9.5546875" style="401" customWidth="1"/>
    <col min="15377" max="15377" width="10.33203125" style="401" bestFit="1" customWidth="1"/>
    <col min="15378" max="15380" width="9.5546875" style="401" customWidth="1"/>
    <col min="15381" max="15381" width="5.6640625" style="401" customWidth="1"/>
    <col min="15382" max="15387" width="9.5546875" style="401" customWidth="1"/>
    <col min="15388" max="15388" width="8.6640625" style="401" bestFit="1" customWidth="1"/>
    <col min="15389" max="15389" width="9.5546875" style="401" customWidth="1"/>
    <col min="15390" max="15616" width="10.6640625" style="401"/>
    <col min="15617" max="15617" width="48.109375" style="401" bestFit="1" customWidth="1"/>
    <col min="15618" max="15618" width="12.33203125" style="401" customWidth="1"/>
    <col min="15619" max="15619" width="13.5546875" style="401" customWidth="1"/>
    <col min="15620" max="15620" width="13.33203125" style="401" customWidth="1"/>
    <col min="15621" max="15627" width="9.5546875" style="401" customWidth="1"/>
    <col min="15628" max="15628" width="10.33203125" style="401" bestFit="1" customWidth="1"/>
    <col min="15629" max="15632" width="9.5546875" style="401" customWidth="1"/>
    <col min="15633" max="15633" width="10.33203125" style="401" bestFit="1" customWidth="1"/>
    <col min="15634" max="15636" width="9.5546875" style="401" customWidth="1"/>
    <col min="15637" max="15637" width="5.6640625" style="401" customWidth="1"/>
    <col min="15638" max="15643" width="9.5546875" style="401" customWidth="1"/>
    <col min="15644" max="15644" width="8.6640625" style="401" bestFit="1" customWidth="1"/>
    <col min="15645" max="15645" width="9.5546875" style="401" customWidth="1"/>
    <col min="15646" max="15872" width="10.6640625" style="401"/>
    <col min="15873" max="15873" width="48.109375" style="401" bestFit="1" customWidth="1"/>
    <col min="15874" max="15874" width="12.33203125" style="401" customWidth="1"/>
    <col min="15875" max="15875" width="13.5546875" style="401" customWidth="1"/>
    <col min="15876" max="15876" width="13.33203125" style="401" customWidth="1"/>
    <col min="15877" max="15883" width="9.5546875" style="401" customWidth="1"/>
    <col min="15884" max="15884" width="10.33203125" style="401" bestFit="1" customWidth="1"/>
    <col min="15885" max="15888" width="9.5546875" style="401" customWidth="1"/>
    <col min="15889" max="15889" width="10.33203125" style="401" bestFit="1" customWidth="1"/>
    <col min="15890" max="15892" width="9.5546875" style="401" customWidth="1"/>
    <col min="15893" max="15893" width="5.6640625" style="401" customWidth="1"/>
    <col min="15894" max="15899" width="9.5546875" style="401" customWidth="1"/>
    <col min="15900" max="15900" width="8.6640625" style="401" bestFit="1" customWidth="1"/>
    <col min="15901" max="15901" width="9.5546875" style="401" customWidth="1"/>
    <col min="15902" max="16128" width="10.6640625" style="401"/>
    <col min="16129" max="16129" width="48.109375" style="401" bestFit="1" customWidth="1"/>
    <col min="16130" max="16130" width="12.33203125" style="401" customWidth="1"/>
    <col min="16131" max="16131" width="13.5546875" style="401" customWidth="1"/>
    <col min="16132" max="16132" width="13.33203125" style="401" customWidth="1"/>
    <col min="16133" max="16139" width="9.5546875" style="401" customWidth="1"/>
    <col min="16140" max="16140" width="10.33203125" style="401" bestFit="1" customWidth="1"/>
    <col min="16141" max="16144" width="9.5546875" style="401" customWidth="1"/>
    <col min="16145" max="16145" width="10.33203125" style="401" bestFit="1" customWidth="1"/>
    <col min="16146" max="16148" width="9.5546875" style="401" customWidth="1"/>
    <col min="16149" max="16149" width="5.6640625" style="401" customWidth="1"/>
    <col min="16150" max="16155" width="9.5546875" style="401" customWidth="1"/>
    <col min="16156" max="16156" width="8.6640625" style="401" bestFit="1" customWidth="1"/>
    <col min="16157" max="16157" width="9.5546875" style="401" customWidth="1"/>
    <col min="16158" max="16384" width="10.6640625" style="401"/>
  </cols>
  <sheetData>
    <row r="1" spans="1:38" s="387" customFormat="1" ht="24">
      <c r="A1" s="383"/>
      <c r="B1" s="383"/>
      <c r="C1" s="383"/>
      <c r="D1" s="383"/>
      <c r="E1" s="383" t="s">
        <v>1493</v>
      </c>
      <c r="F1" s="383" t="s">
        <v>1494</v>
      </c>
      <c r="G1" s="384" t="s">
        <v>1495</v>
      </c>
      <c r="H1" s="383"/>
      <c r="I1" s="383" t="s">
        <v>558</v>
      </c>
      <c r="J1" s="383" t="s">
        <v>542</v>
      </c>
      <c r="K1" s="383" t="s">
        <v>558</v>
      </c>
      <c r="L1" s="383">
        <v>7</v>
      </c>
      <c r="M1" s="383" t="s">
        <v>1496</v>
      </c>
      <c r="N1" s="383" t="s">
        <v>1497</v>
      </c>
      <c r="O1" s="383" t="s">
        <v>1498</v>
      </c>
      <c r="P1" s="385"/>
      <c r="Q1" s="383" t="s">
        <v>1499</v>
      </c>
      <c r="R1" s="383" t="s">
        <v>1500</v>
      </c>
      <c r="S1" s="383" t="s">
        <v>1501</v>
      </c>
      <c r="T1" s="383" t="s">
        <v>1502</v>
      </c>
      <c r="U1" s="383" t="s">
        <v>1503</v>
      </c>
      <c r="V1" s="383" t="s">
        <v>1504</v>
      </c>
      <c r="W1" s="383"/>
      <c r="X1" s="383" t="s">
        <v>1505</v>
      </c>
      <c r="Y1" s="383" t="s">
        <v>1506</v>
      </c>
      <c r="Z1" s="383"/>
      <c r="AA1" s="383" t="s">
        <v>1507</v>
      </c>
      <c r="AB1" s="383" t="s">
        <v>1508</v>
      </c>
      <c r="AC1" s="383" t="s">
        <v>1509</v>
      </c>
      <c r="AD1" s="386"/>
      <c r="AE1" s="386"/>
      <c r="AF1" s="386"/>
      <c r="AG1" s="386"/>
      <c r="AH1" s="386"/>
      <c r="AI1" s="386"/>
      <c r="AJ1" s="386"/>
      <c r="AK1" s="386"/>
      <c r="AL1" s="386"/>
    </row>
    <row r="2" spans="1:38" s="391" customFormat="1" ht="30.75" customHeight="1">
      <c r="A2" s="388"/>
      <c r="B2" s="388"/>
      <c r="C2" s="388"/>
      <c r="D2" s="388"/>
      <c r="E2" s="388" t="s">
        <v>1510</v>
      </c>
      <c r="F2" s="388" t="s">
        <v>259</v>
      </c>
      <c r="G2" s="389" t="s">
        <v>1511</v>
      </c>
      <c r="H2" s="388" t="s">
        <v>541</v>
      </c>
      <c r="I2" s="388" t="s">
        <v>546</v>
      </c>
      <c r="J2" s="388" t="s">
        <v>1512</v>
      </c>
      <c r="K2" s="388" t="s">
        <v>548</v>
      </c>
      <c r="L2" s="388" t="s">
        <v>543</v>
      </c>
      <c r="M2" s="388" t="s">
        <v>1513</v>
      </c>
      <c r="N2" s="388" t="s">
        <v>1514</v>
      </c>
      <c r="O2" s="388" t="s">
        <v>1515</v>
      </c>
      <c r="P2" s="388" t="s">
        <v>544</v>
      </c>
      <c r="Q2" s="388" t="s">
        <v>1516</v>
      </c>
      <c r="R2" s="388" t="s">
        <v>1517</v>
      </c>
      <c r="S2" s="388" t="s">
        <v>1516</v>
      </c>
      <c r="T2" s="388" t="s">
        <v>1518</v>
      </c>
      <c r="U2" s="388" t="s">
        <v>1519</v>
      </c>
      <c r="V2" s="388" t="s">
        <v>1520</v>
      </c>
      <c r="W2" s="388" t="s">
        <v>545</v>
      </c>
      <c r="X2" s="388" t="s">
        <v>1521</v>
      </c>
      <c r="Y2" s="388" t="s">
        <v>290</v>
      </c>
      <c r="Z2" s="388" t="s">
        <v>547</v>
      </c>
      <c r="AA2" s="388" t="s">
        <v>1522</v>
      </c>
      <c r="AB2" s="388" t="s">
        <v>1523</v>
      </c>
      <c r="AC2" s="388" t="s">
        <v>1524</v>
      </c>
      <c r="AD2" s="390"/>
      <c r="AE2" s="390"/>
      <c r="AF2" s="390"/>
      <c r="AG2" s="390"/>
      <c r="AH2" s="390"/>
      <c r="AI2" s="390"/>
      <c r="AJ2" s="390"/>
      <c r="AK2" s="390"/>
      <c r="AL2" s="390"/>
    </row>
    <row r="3" spans="1:38" s="396" customFormat="1" ht="14.1" customHeight="1">
      <c r="A3" s="392" t="s">
        <v>1525</v>
      </c>
      <c r="B3" s="392"/>
      <c r="C3" s="392"/>
      <c r="D3" s="392"/>
      <c r="E3" s="393">
        <v>208843</v>
      </c>
      <c r="F3" s="393">
        <v>1859478</v>
      </c>
      <c r="G3" s="393">
        <v>720</v>
      </c>
      <c r="H3" s="393">
        <v>10849687</v>
      </c>
      <c r="I3" s="393">
        <v>3740031</v>
      </c>
      <c r="J3" s="393">
        <v>2785179</v>
      </c>
      <c r="K3" s="393">
        <v>0</v>
      </c>
      <c r="L3" s="393">
        <v>1784792</v>
      </c>
      <c r="M3" s="393">
        <v>661690</v>
      </c>
      <c r="N3" s="393">
        <v>-314030</v>
      </c>
      <c r="O3" s="393">
        <v>0</v>
      </c>
      <c r="P3" s="393">
        <v>0</v>
      </c>
      <c r="Q3" s="392">
        <v>-5086795</v>
      </c>
      <c r="R3" s="392">
        <v>0</v>
      </c>
      <c r="S3" s="392">
        <v>0</v>
      </c>
      <c r="T3" s="392">
        <v>-404875</v>
      </c>
      <c r="U3" s="392">
        <v>0</v>
      </c>
      <c r="V3" s="392">
        <v>0</v>
      </c>
      <c r="W3" s="392">
        <v>0</v>
      </c>
      <c r="X3" s="392">
        <v>0</v>
      </c>
      <c r="Y3" s="392">
        <v>-16061</v>
      </c>
      <c r="Z3" s="392">
        <v>-14694727</v>
      </c>
      <c r="AA3" s="394">
        <v>-747020</v>
      </c>
      <c r="AB3" s="392">
        <v>-626912</v>
      </c>
      <c r="AC3" s="392">
        <v>0</v>
      </c>
      <c r="AD3" s="395"/>
      <c r="AE3" s="395"/>
      <c r="AF3" s="395"/>
      <c r="AG3" s="395"/>
      <c r="AH3" s="395"/>
      <c r="AI3" s="395"/>
      <c r="AJ3" s="395"/>
      <c r="AK3" s="395"/>
      <c r="AL3" s="395"/>
    </row>
    <row r="4" spans="1:38" s="399" customFormat="1" ht="14.1" customHeight="1">
      <c r="A4" s="393" t="s">
        <v>1526</v>
      </c>
      <c r="B4" s="393"/>
      <c r="C4" s="393"/>
      <c r="D4" s="393"/>
      <c r="E4" s="393">
        <v>347668</v>
      </c>
      <c r="F4" s="393">
        <v>2253967</v>
      </c>
      <c r="G4" s="393">
        <v>185680</v>
      </c>
      <c r="H4" s="393">
        <v>13127897</v>
      </c>
      <c r="I4" s="393">
        <v>3630680</v>
      </c>
      <c r="J4" s="393">
        <f>4996621-I4</f>
        <v>1365941</v>
      </c>
      <c r="K4" s="393">
        <v>0</v>
      </c>
      <c r="L4" s="393">
        <v>945437</v>
      </c>
      <c r="M4" s="393">
        <v>431711</v>
      </c>
      <c r="N4" s="393">
        <v>-314030</v>
      </c>
      <c r="O4" s="393">
        <v>0</v>
      </c>
      <c r="P4" s="393">
        <v>0</v>
      </c>
      <c r="Q4" s="393">
        <v>-5347373</v>
      </c>
      <c r="R4" s="393">
        <v>-68777</v>
      </c>
      <c r="S4" s="393">
        <v>0</v>
      </c>
      <c r="T4" s="393">
        <v>-585199</v>
      </c>
      <c r="U4" s="393">
        <v>0</v>
      </c>
      <c r="V4" s="393">
        <v>0</v>
      </c>
      <c r="W4" s="393">
        <v>0</v>
      </c>
      <c r="X4" s="393">
        <v>0</v>
      </c>
      <c r="Y4" s="393">
        <v>-50225</v>
      </c>
      <c r="Z4" s="393">
        <v>-14675377</v>
      </c>
      <c r="AA4" s="397">
        <f>-678584-1614-944</f>
        <v>-681142</v>
      </c>
      <c r="AB4" s="393">
        <v>-566858</v>
      </c>
      <c r="AC4" s="393">
        <f>SUM(E4:AB4)</f>
        <v>0</v>
      </c>
      <c r="AD4" s="398"/>
      <c r="AE4" s="398"/>
      <c r="AF4" s="398"/>
      <c r="AG4" s="398"/>
      <c r="AH4" s="398"/>
      <c r="AI4" s="398"/>
      <c r="AJ4" s="398"/>
      <c r="AK4" s="398"/>
      <c r="AL4" s="398"/>
    </row>
    <row r="5" spans="1:38" ht="14.1" customHeight="1">
      <c r="A5" s="393" t="s">
        <v>1527</v>
      </c>
      <c r="B5" s="434"/>
      <c r="C5" s="434"/>
      <c r="D5" s="393"/>
      <c r="E5" s="393">
        <f t="shared" ref="E5:AB5" si="0">E4-E3</f>
        <v>138825</v>
      </c>
      <c r="F5" s="393">
        <f t="shared" si="0"/>
        <v>394489</v>
      </c>
      <c r="G5" s="393">
        <f t="shared" si="0"/>
        <v>184960</v>
      </c>
      <c r="H5" s="393">
        <f t="shared" si="0"/>
        <v>2278210</v>
      </c>
      <c r="I5" s="393">
        <f t="shared" si="0"/>
        <v>-109351</v>
      </c>
      <c r="J5" s="393">
        <f t="shared" si="0"/>
        <v>-1419238</v>
      </c>
      <c r="K5" s="393">
        <f t="shared" si="0"/>
        <v>0</v>
      </c>
      <c r="L5" s="393">
        <f t="shared" si="0"/>
        <v>-839355</v>
      </c>
      <c r="M5" s="393">
        <f t="shared" si="0"/>
        <v>-229979</v>
      </c>
      <c r="N5" s="393">
        <f t="shared" si="0"/>
        <v>0</v>
      </c>
      <c r="O5" s="393">
        <f t="shared" si="0"/>
        <v>0</v>
      </c>
      <c r="P5" s="393">
        <f t="shared" si="0"/>
        <v>0</v>
      </c>
      <c r="Q5" s="393">
        <f t="shared" si="0"/>
        <v>-260578</v>
      </c>
      <c r="R5" s="393">
        <f t="shared" si="0"/>
        <v>-68777</v>
      </c>
      <c r="S5" s="393">
        <f t="shared" si="0"/>
        <v>0</v>
      </c>
      <c r="T5" s="393">
        <f t="shared" si="0"/>
        <v>-180324</v>
      </c>
      <c r="U5" s="393">
        <f>U4-U3</f>
        <v>0</v>
      </c>
      <c r="V5" s="393">
        <f>V4-V3</f>
        <v>0</v>
      </c>
      <c r="W5" s="393">
        <f t="shared" si="0"/>
        <v>0</v>
      </c>
      <c r="X5" s="393">
        <f t="shared" si="0"/>
        <v>0</v>
      </c>
      <c r="Y5" s="393">
        <f t="shared" si="0"/>
        <v>-34164</v>
      </c>
      <c r="Z5" s="393">
        <f t="shared" si="0"/>
        <v>19350</v>
      </c>
      <c r="AA5" s="393">
        <f t="shared" si="0"/>
        <v>65878</v>
      </c>
      <c r="AB5" s="393">
        <f t="shared" si="0"/>
        <v>60054</v>
      </c>
      <c r="AC5" s="393">
        <f>SUM(E5:AB5)</f>
        <v>0</v>
      </c>
      <c r="AD5" s="400"/>
      <c r="AE5" s="400"/>
      <c r="AF5" s="400"/>
      <c r="AG5" s="400"/>
      <c r="AH5" s="400"/>
      <c r="AI5" s="400"/>
      <c r="AJ5" s="400"/>
      <c r="AK5" s="400"/>
      <c r="AL5" s="400"/>
    </row>
    <row r="6" spans="1:38" s="404" customFormat="1" ht="14.1" customHeight="1" thickBot="1">
      <c r="A6" s="402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3"/>
      <c r="AE6" s="403"/>
      <c r="AF6" s="403"/>
      <c r="AG6" s="403"/>
      <c r="AH6" s="403"/>
      <c r="AI6" s="403"/>
      <c r="AJ6" s="403"/>
      <c r="AK6" s="403"/>
      <c r="AL6" s="403"/>
    </row>
    <row r="7" spans="1:38" s="404" customFormat="1" ht="14.1" customHeight="1">
      <c r="A7" s="438" t="s">
        <v>1530</v>
      </c>
      <c r="B7" s="438" t="s">
        <v>1528</v>
      </c>
      <c r="C7" s="437" t="s">
        <v>1529</v>
      </c>
      <c r="D7" s="402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402"/>
      <c r="AD7" s="403"/>
      <c r="AE7" s="403"/>
      <c r="AF7" s="403"/>
      <c r="AG7" s="403"/>
      <c r="AH7" s="403"/>
      <c r="AI7" s="403"/>
      <c r="AJ7" s="403"/>
      <c r="AK7" s="403"/>
      <c r="AL7" s="403"/>
    </row>
    <row r="8" spans="1:38" s="404" customFormat="1" ht="14.1" customHeight="1">
      <c r="A8" s="439" t="s">
        <v>1531</v>
      </c>
      <c r="B8" s="439"/>
      <c r="C8" s="435"/>
      <c r="D8" s="402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402"/>
      <c r="AD8" s="403"/>
      <c r="AE8" s="403"/>
      <c r="AF8" s="403"/>
      <c r="AG8" s="403"/>
      <c r="AH8" s="403"/>
      <c r="AI8" s="403"/>
      <c r="AJ8" s="403"/>
      <c r="AK8" s="403"/>
      <c r="AL8" s="403"/>
    </row>
    <row r="9" spans="1:38" ht="14.1" customHeight="1">
      <c r="A9" s="440" t="s">
        <v>1532</v>
      </c>
      <c r="B9" s="440">
        <v>450125</v>
      </c>
      <c r="C9" s="433">
        <v>622604</v>
      </c>
      <c r="D9" s="405">
        <v>622604</v>
      </c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>
        <f>404875-68777</f>
        <v>336098</v>
      </c>
      <c r="R9" s="393">
        <v>68777</v>
      </c>
      <c r="S9" s="393"/>
      <c r="T9" s="393">
        <v>217729</v>
      </c>
      <c r="U9" s="393"/>
      <c r="V9" s="393"/>
      <c r="W9" s="393"/>
      <c r="X9" s="393"/>
      <c r="Y9" s="393"/>
      <c r="Z9" s="393"/>
      <c r="AA9" s="393"/>
      <c r="AB9" s="393"/>
      <c r="AC9" s="393"/>
      <c r="AD9" s="400"/>
      <c r="AE9" s="400"/>
      <c r="AF9" s="400"/>
      <c r="AG9" s="400"/>
      <c r="AH9" s="400"/>
      <c r="AI9" s="400"/>
      <c r="AJ9" s="400"/>
      <c r="AK9" s="400"/>
      <c r="AL9" s="400"/>
    </row>
    <row r="10" spans="1:38">
      <c r="A10" s="440" t="s">
        <v>1533</v>
      </c>
      <c r="B10" s="440">
        <v>675509</v>
      </c>
      <c r="C10" s="433">
        <v>760918</v>
      </c>
      <c r="D10" s="405">
        <v>760918</v>
      </c>
      <c r="E10" s="393">
        <f>'[1]Mozgás tábla'!I15</f>
        <v>139948</v>
      </c>
      <c r="F10" s="393">
        <f>'[1]Mozgás tábla'!I20</f>
        <v>620970</v>
      </c>
      <c r="G10" s="393">
        <v>0</v>
      </c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400"/>
      <c r="AE10" s="400"/>
      <c r="AF10" s="400"/>
      <c r="AG10" s="400"/>
      <c r="AH10" s="400"/>
      <c r="AI10" s="400"/>
      <c r="AJ10" s="400"/>
      <c r="AK10" s="400"/>
      <c r="AL10" s="400"/>
    </row>
    <row r="11" spans="1:38">
      <c r="A11" s="440" t="s">
        <v>1534</v>
      </c>
      <c r="B11" s="440">
        <v>94862</v>
      </c>
      <c r="C11" s="433">
        <v>64654</v>
      </c>
      <c r="D11" s="405">
        <f>SUM(E11:AB11)</f>
        <v>64654</v>
      </c>
      <c r="E11" s="406">
        <f>H84</f>
        <v>0</v>
      </c>
      <c r="F11" s="407">
        <f>H85</f>
        <v>12711</v>
      </c>
      <c r="G11" s="393">
        <f>+H88/1000</f>
        <v>0</v>
      </c>
      <c r="H11" s="408">
        <f>(H81+H80)</f>
        <v>52474</v>
      </c>
      <c r="I11" s="405">
        <f>(H76+H74)</f>
        <v>313</v>
      </c>
      <c r="J11" s="409">
        <f>(H75+H77)</f>
        <v>-844</v>
      </c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400"/>
      <c r="AE11" s="400"/>
      <c r="AF11" s="400"/>
      <c r="AG11" s="400"/>
      <c r="AH11" s="400"/>
      <c r="AI11" s="400"/>
      <c r="AJ11" s="400"/>
      <c r="AK11" s="400"/>
      <c r="AL11" s="400"/>
    </row>
    <row r="12" spans="1:38" s="411" customFormat="1">
      <c r="A12" s="440" t="s">
        <v>1535</v>
      </c>
      <c r="B12" s="440">
        <v>0</v>
      </c>
      <c r="C12" s="433">
        <f t="shared" ref="C12:C44" si="1">D12</f>
        <v>0</v>
      </c>
      <c r="D12" s="405">
        <f t="shared" ref="D12:D21" si="2">SUM(E12:AB12)</f>
        <v>0</v>
      </c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>
        <f>-W5</f>
        <v>0</v>
      </c>
      <c r="X12" s="393"/>
      <c r="Y12" s="393"/>
      <c r="Z12" s="393"/>
      <c r="AA12" s="393"/>
      <c r="AB12" s="393"/>
      <c r="AC12" s="393"/>
      <c r="AD12" s="410"/>
      <c r="AE12" s="410"/>
      <c r="AF12" s="410"/>
      <c r="AG12" s="410"/>
      <c r="AH12" s="410"/>
      <c r="AI12" s="410"/>
      <c r="AJ12" s="410"/>
      <c r="AK12" s="410"/>
      <c r="AL12" s="410"/>
    </row>
    <row r="13" spans="1:38" s="411" customFormat="1">
      <c r="A13" s="440" t="s">
        <v>1536</v>
      </c>
      <c r="B13" s="440">
        <v>-1092</v>
      </c>
      <c r="C13" s="433">
        <f t="shared" si="1"/>
        <v>-18665</v>
      </c>
      <c r="D13" s="405">
        <f t="shared" si="2"/>
        <v>-18665</v>
      </c>
      <c r="E13" s="393">
        <v>0</v>
      </c>
      <c r="F13" s="412">
        <f>(+H68)-E13</f>
        <v>-18665</v>
      </c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410"/>
      <c r="AE13" s="410"/>
      <c r="AF13" s="410"/>
      <c r="AG13" s="410"/>
      <c r="AH13" s="410"/>
      <c r="AI13" s="410"/>
      <c r="AJ13" s="410"/>
      <c r="AK13" s="410"/>
      <c r="AL13" s="410"/>
    </row>
    <row r="14" spans="1:38" s="411" customFormat="1">
      <c r="A14" s="440" t="s">
        <v>1537</v>
      </c>
      <c r="B14" s="440">
        <v>3767897</v>
      </c>
      <c r="C14" s="433">
        <f t="shared" si="1"/>
        <v>-19350</v>
      </c>
      <c r="D14" s="405">
        <f t="shared" si="2"/>
        <v>-19350</v>
      </c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413">
        <f>-Z5</f>
        <v>-19350</v>
      </c>
      <c r="AA14" s="393"/>
      <c r="AB14" s="393"/>
      <c r="AC14" s="393"/>
      <c r="AD14" s="410"/>
      <c r="AE14" s="410"/>
      <c r="AF14" s="410"/>
      <c r="AG14" s="410"/>
      <c r="AH14" s="410"/>
      <c r="AI14" s="410"/>
      <c r="AJ14" s="410"/>
      <c r="AK14" s="410"/>
      <c r="AL14" s="410"/>
    </row>
    <row r="15" spans="1:38" s="411" customFormat="1">
      <c r="A15" s="440" t="s">
        <v>1538</v>
      </c>
      <c r="B15" s="440">
        <v>267423</v>
      </c>
      <c r="C15" s="433">
        <f t="shared" si="1"/>
        <v>-65878</v>
      </c>
      <c r="D15" s="405">
        <f t="shared" si="2"/>
        <v>-65878</v>
      </c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>
        <v>-65878</v>
      </c>
      <c r="AB15" s="393"/>
      <c r="AC15" s="393"/>
      <c r="AD15" s="410"/>
      <c r="AE15" s="410"/>
      <c r="AF15" s="410"/>
      <c r="AG15" s="410"/>
      <c r="AH15" s="410"/>
      <c r="AI15" s="410"/>
      <c r="AJ15" s="410"/>
      <c r="AK15" s="410"/>
      <c r="AL15" s="410"/>
    </row>
    <row r="16" spans="1:38" s="411" customFormat="1">
      <c r="A16" s="440" t="s">
        <v>1539</v>
      </c>
      <c r="B16" s="440">
        <v>-10362</v>
      </c>
      <c r="C16" s="433">
        <f t="shared" si="1"/>
        <v>-60054</v>
      </c>
      <c r="D16" s="405">
        <f t="shared" si="2"/>
        <v>-60054</v>
      </c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>
        <f>-AB5</f>
        <v>-60054</v>
      </c>
      <c r="AC16" s="393"/>
      <c r="AD16" s="410"/>
      <c r="AE16" s="410"/>
      <c r="AF16" s="410"/>
      <c r="AG16" s="410"/>
      <c r="AH16" s="410"/>
      <c r="AI16" s="410"/>
      <c r="AJ16" s="410"/>
      <c r="AK16" s="410"/>
      <c r="AL16" s="410"/>
    </row>
    <row r="17" spans="1:38" s="411" customFormat="1">
      <c r="A17" s="440" t="s">
        <v>1540</v>
      </c>
      <c r="B17" s="440">
        <v>-1046477</v>
      </c>
      <c r="C17" s="433">
        <f t="shared" si="1"/>
        <v>109038</v>
      </c>
      <c r="D17" s="405">
        <f t="shared" si="2"/>
        <v>109038</v>
      </c>
      <c r="E17" s="393"/>
      <c r="F17" s="393"/>
      <c r="G17" s="393"/>
      <c r="H17" s="393"/>
      <c r="I17" s="393">
        <f>-I5-I11</f>
        <v>109038</v>
      </c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410"/>
      <c r="AE17" s="410"/>
      <c r="AF17" s="410"/>
      <c r="AG17" s="410"/>
      <c r="AH17" s="410"/>
      <c r="AI17" s="410"/>
      <c r="AJ17" s="410"/>
      <c r="AK17" s="410"/>
      <c r="AL17" s="410"/>
    </row>
    <row r="18" spans="1:38" s="411" customFormat="1">
      <c r="A18" s="440" t="s">
        <v>1541</v>
      </c>
      <c r="B18" s="440">
        <v>-2581554</v>
      </c>
      <c r="C18" s="433">
        <f t="shared" si="1"/>
        <v>-910602</v>
      </c>
      <c r="D18" s="405">
        <f t="shared" si="2"/>
        <v>-910602</v>
      </c>
      <c r="E18" s="393"/>
      <c r="F18" s="393"/>
      <c r="G18" s="393"/>
      <c r="H18" s="393">
        <f>-H5-H11</f>
        <v>-2330684</v>
      </c>
      <c r="I18" s="393"/>
      <c r="J18" s="393">
        <f>-J5-J11</f>
        <v>1420082</v>
      </c>
      <c r="K18" s="393">
        <f>-K5</f>
        <v>0</v>
      </c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410"/>
      <c r="AE18" s="410"/>
      <c r="AF18" s="410"/>
      <c r="AG18" s="410"/>
      <c r="AH18" s="410"/>
      <c r="AI18" s="410"/>
      <c r="AJ18" s="410"/>
      <c r="AK18" s="410"/>
      <c r="AL18" s="410"/>
    </row>
    <row r="19" spans="1:38">
      <c r="A19" s="440" t="s">
        <v>1542</v>
      </c>
      <c r="B19" s="440">
        <v>-148835</v>
      </c>
      <c r="C19" s="433">
        <f t="shared" si="1"/>
        <v>229979</v>
      </c>
      <c r="D19" s="405">
        <f t="shared" si="2"/>
        <v>229979</v>
      </c>
      <c r="E19" s="393"/>
      <c r="F19" s="393"/>
      <c r="G19" s="393"/>
      <c r="H19" s="393"/>
      <c r="I19" s="393"/>
      <c r="J19" s="393"/>
      <c r="K19" s="393"/>
      <c r="L19" s="393"/>
      <c r="M19" s="393">
        <f>-M5</f>
        <v>229979</v>
      </c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400"/>
      <c r="AE19" s="400"/>
      <c r="AF19" s="400"/>
      <c r="AG19" s="400"/>
      <c r="AH19" s="400"/>
      <c r="AI19" s="400"/>
      <c r="AJ19" s="400"/>
      <c r="AK19" s="400"/>
      <c r="AL19" s="400"/>
    </row>
    <row r="20" spans="1:38" s="411" customFormat="1" ht="13.5" customHeight="1">
      <c r="A20" s="440" t="s">
        <v>1543</v>
      </c>
      <c r="B20" s="440">
        <v>-45250</v>
      </c>
      <c r="C20" s="433">
        <v>-37405</v>
      </c>
      <c r="D20" s="405">
        <f t="shared" si="2"/>
        <v>-37405</v>
      </c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>
        <v>-37405</v>
      </c>
      <c r="U20" s="393"/>
      <c r="V20" s="393"/>
      <c r="W20" s="393"/>
      <c r="X20" s="393"/>
      <c r="Y20" s="393"/>
      <c r="Z20" s="393"/>
      <c r="AA20" s="393"/>
      <c r="AB20" s="393"/>
      <c r="AC20" s="393"/>
      <c r="AD20" s="410"/>
      <c r="AE20" s="410"/>
      <c r="AF20" s="410"/>
      <c r="AG20" s="410"/>
      <c r="AH20" s="410"/>
      <c r="AI20" s="410"/>
      <c r="AJ20" s="410"/>
      <c r="AK20" s="410"/>
      <c r="AL20" s="410"/>
    </row>
    <row r="21" spans="1:38" s="411" customFormat="1">
      <c r="A21" s="440" t="s">
        <v>1544</v>
      </c>
      <c r="B21" s="440">
        <v>0</v>
      </c>
      <c r="C21" s="433">
        <f t="shared" si="1"/>
        <v>-75520</v>
      </c>
      <c r="D21" s="405">
        <f t="shared" si="2"/>
        <v>-75520</v>
      </c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>
        <v>-75520</v>
      </c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410"/>
      <c r="AE21" s="410"/>
      <c r="AF21" s="410"/>
      <c r="AG21" s="410"/>
      <c r="AH21" s="410"/>
      <c r="AI21" s="410"/>
      <c r="AJ21" s="410"/>
      <c r="AK21" s="410"/>
      <c r="AL21" s="410"/>
    </row>
    <row r="22" spans="1:38" s="404" customFormat="1">
      <c r="A22" s="439" t="s">
        <v>1545</v>
      </c>
      <c r="B22" s="439">
        <f>SUM(B9:B21)</f>
        <v>1422246</v>
      </c>
      <c r="C22" s="435">
        <f t="shared" si="1"/>
        <v>599719</v>
      </c>
      <c r="D22" s="402">
        <f>SUM(D9:D21)</f>
        <v>599719</v>
      </c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402"/>
      <c r="AD22" s="403"/>
      <c r="AE22" s="403"/>
      <c r="AF22" s="403"/>
      <c r="AG22" s="403"/>
      <c r="AH22" s="403"/>
      <c r="AI22" s="403"/>
      <c r="AJ22" s="403"/>
      <c r="AK22" s="403"/>
      <c r="AL22" s="403"/>
    </row>
    <row r="23" spans="1:38">
      <c r="A23" s="440"/>
      <c r="B23" s="440"/>
      <c r="C23" s="433">
        <f t="shared" si="1"/>
        <v>0</v>
      </c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400"/>
      <c r="AE23" s="400"/>
      <c r="AF23" s="400"/>
      <c r="AG23" s="400"/>
      <c r="AH23" s="400"/>
      <c r="AI23" s="400"/>
      <c r="AJ23" s="400"/>
      <c r="AK23" s="400"/>
      <c r="AL23" s="400"/>
    </row>
    <row r="24" spans="1:38">
      <c r="A24" s="440"/>
      <c r="B24" s="440"/>
      <c r="C24" s="433">
        <f t="shared" si="1"/>
        <v>0</v>
      </c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400"/>
      <c r="AE24" s="400"/>
      <c r="AF24" s="400"/>
      <c r="AG24" s="400"/>
      <c r="AH24" s="400"/>
      <c r="AI24" s="400"/>
      <c r="AJ24" s="400"/>
      <c r="AK24" s="400"/>
      <c r="AL24" s="400"/>
    </row>
    <row r="25" spans="1:38" s="404" customFormat="1">
      <c r="A25" s="439" t="s">
        <v>1546</v>
      </c>
      <c r="B25" s="439"/>
      <c r="C25" s="433">
        <f t="shared" si="1"/>
        <v>0</v>
      </c>
      <c r="D25" s="40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402"/>
      <c r="AD25" s="403"/>
      <c r="AE25" s="403"/>
      <c r="AF25" s="403"/>
      <c r="AG25" s="403"/>
      <c r="AH25" s="403"/>
      <c r="AI25" s="403"/>
      <c r="AJ25" s="403"/>
      <c r="AK25" s="403"/>
      <c r="AL25" s="403"/>
    </row>
    <row r="26" spans="1:38" s="404" customFormat="1">
      <c r="A26" s="439" t="s">
        <v>1547</v>
      </c>
      <c r="B26" s="439"/>
      <c r="C26" s="433">
        <f t="shared" si="1"/>
        <v>0</v>
      </c>
      <c r="D26" s="402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402"/>
      <c r="AD26" s="403"/>
      <c r="AE26" s="403"/>
      <c r="AF26" s="403"/>
      <c r="AG26" s="403"/>
      <c r="AH26" s="403"/>
      <c r="AI26" s="403"/>
      <c r="AJ26" s="403"/>
      <c r="AK26" s="403"/>
      <c r="AL26" s="403"/>
    </row>
    <row r="27" spans="1:38">
      <c r="A27" s="440" t="s">
        <v>1548</v>
      </c>
      <c r="B27" s="440">
        <v>-959578</v>
      </c>
      <c r="C27" s="433">
        <f t="shared" si="1"/>
        <v>-1427756</v>
      </c>
      <c r="D27" s="405">
        <f>SUM(E27:AB27)</f>
        <v>-1427756</v>
      </c>
      <c r="E27" s="393">
        <f>-'[1]Mozgás tábla'!D15+1</f>
        <v>-278773</v>
      </c>
      <c r="F27" s="393">
        <f>-('[1]Mozgás tábla'!D22+'[1]Mozgás tábla'!D24+'[1]Mozgás tábla'!E24)</f>
        <v>-1148263</v>
      </c>
      <c r="G27" s="393">
        <v>-720</v>
      </c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400"/>
      <c r="AE27" s="400"/>
      <c r="AF27" s="400"/>
      <c r="AG27" s="400"/>
      <c r="AH27" s="400"/>
      <c r="AI27" s="400"/>
      <c r="AJ27" s="400"/>
      <c r="AK27" s="400"/>
      <c r="AL27" s="400"/>
    </row>
    <row r="28" spans="1:38">
      <c r="A28" s="440" t="s">
        <v>1549</v>
      </c>
      <c r="B28" s="440">
        <v>58170</v>
      </c>
      <c r="C28" s="433">
        <f t="shared" si="1"/>
        <v>138758</v>
      </c>
      <c r="D28" s="405">
        <f>SUM(E28:AB28)</f>
        <v>138758</v>
      </c>
      <c r="E28" s="393">
        <f>-('[1]Mozgás tábla'!E11+'[1]Mozgás tábla'!F11-'[1]Mozgás tábla'!J11)</f>
        <v>0</v>
      </c>
      <c r="F28" s="393">
        <f>-('[1]Mozgás tábla'!E20+'[1]Mozgás tábla'!F20-'[1]Mozgás tábla'!J20)-F11-F13</f>
        <v>138758</v>
      </c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400"/>
      <c r="AE28" s="400"/>
      <c r="AF28" s="400"/>
      <c r="AG28" s="400"/>
      <c r="AH28" s="400"/>
      <c r="AI28" s="400"/>
      <c r="AJ28" s="400"/>
      <c r="AK28" s="400"/>
      <c r="AL28" s="400"/>
    </row>
    <row r="29" spans="1:38">
      <c r="A29" s="440" t="s">
        <v>1550</v>
      </c>
      <c r="B29" s="440">
        <v>0</v>
      </c>
      <c r="C29" s="433">
        <f>D29</f>
        <v>0</v>
      </c>
      <c r="D29" s="405">
        <f>SUM(E29:AB29)</f>
        <v>0</v>
      </c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400"/>
      <c r="AE29" s="400"/>
      <c r="AF29" s="400"/>
      <c r="AG29" s="400"/>
      <c r="AH29" s="400"/>
      <c r="AI29" s="400"/>
      <c r="AJ29" s="400"/>
      <c r="AK29" s="400"/>
      <c r="AL29" s="400"/>
    </row>
    <row r="30" spans="1:38">
      <c r="A30" s="440" t="s">
        <v>1551</v>
      </c>
      <c r="B30" s="440">
        <v>0</v>
      </c>
      <c r="C30" s="433">
        <f>D30</f>
        <v>-184240</v>
      </c>
      <c r="D30" s="405">
        <f>SUM(E30:AB30)</f>
        <v>-184240</v>
      </c>
      <c r="E30" s="393"/>
      <c r="F30" s="393"/>
      <c r="G30" s="393">
        <v>-184240</v>
      </c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>
        <v>0</v>
      </c>
      <c r="AB30" s="393"/>
      <c r="AC30" s="393"/>
      <c r="AD30" s="400"/>
      <c r="AE30" s="400"/>
      <c r="AF30" s="400"/>
      <c r="AG30" s="400"/>
      <c r="AH30" s="400"/>
      <c r="AI30" s="400"/>
      <c r="AJ30" s="400"/>
      <c r="AK30" s="400"/>
      <c r="AL30" s="400"/>
    </row>
    <row r="31" spans="1:38">
      <c r="A31" s="440" t="s">
        <v>1552</v>
      </c>
      <c r="B31" s="440">
        <v>0</v>
      </c>
      <c r="C31" s="433">
        <f t="shared" si="1"/>
        <v>0</v>
      </c>
      <c r="D31" s="405">
        <f>SUM(E31:AB31)</f>
        <v>0</v>
      </c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400"/>
      <c r="AE31" s="400"/>
      <c r="AF31" s="400"/>
      <c r="AG31" s="400"/>
      <c r="AH31" s="400"/>
      <c r="AI31" s="400"/>
      <c r="AJ31" s="400"/>
      <c r="AK31" s="400"/>
      <c r="AL31" s="400"/>
    </row>
    <row r="32" spans="1:38" s="404" customFormat="1">
      <c r="A32" s="439" t="s">
        <v>1553</v>
      </c>
      <c r="B32" s="439">
        <f>SUM(B27:B31)</f>
        <v>-901408</v>
      </c>
      <c r="C32" s="435">
        <f t="shared" si="1"/>
        <v>-1473238</v>
      </c>
      <c r="D32" s="402">
        <f>SUM(D27:D31)</f>
        <v>-1473238</v>
      </c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402"/>
      <c r="AD32" s="403"/>
      <c r="AE32" s="403"/>
      <c r="AF32" s="403"/>
      <c r="AG32" s="403"/>
      <c r="AH32" s="403"/>
      <c r="AI32" s="403"/>
      <c r="AJ32" s="403"/>
      <c r="AK32" s="403"/>
      <c r="AL32" s="403"/>
    </row>
    <row r="33" spans="1:38">
      <c r="A33" s="440"/>
      <c r="B33" s="440"/>
      <c r="C33" s="433">
        <f t="shared" si="1"/>
        <v>0</v>
      </c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400"/>
      <c r="AE33" s="400"/>
      <c r="AF33" s="400"/>
      <c r="AG33" s="400"/>
      <c r="AH33" s="400"/>
      <c r="AI33" s="400"/>
      <c r="AJ33" s="400"/>
      <c r="AK33" s="400"/>
      <c r="AL33" s="400"/>
    </row>
    <row r="34" spans="1:38" s="404" customFormat="1">
      <c r="A34" s="439" t="s">
        <v>1554</v>
      </c>
      <c r="B34" s="439"/>
      <c r="C34" s="433">
        <f t="shared" si="1"/>
        <v>0</v>
      </c>
      <c r="D34" s="402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402"/>
      <c r="AD34" s="403"/>
      <c r="AE34" s="403"/>
      <c r="AF34" s="403"/>
      <c r="AG34" s="403"/>
      <c r="AH34" s="403"/>
      <c r="AI34" s="403"/>
      <c r="AJ34" s="403"/>
      <c r="AK34" s="403"/>
      <c r="AL34" s="403"/>
    </row>
    <row r="35" spans="1:38" s="404" customFormat="1">
      <c r="A35" s="439" t="s">
        <v>1531</v>
      </c>
      <c r="B35" s="439"/>
      <c r="C35" s="433">
        <f t="shared" si="1"/>
        <v>0</v>
      </c>
      <c r="D35" s="402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402"/>
      <c r="AD35" s="403"/>
      <c r="AE35" s="403"/>
      <c r="AF35" s="403"/>
      <c r="AG35" s="403"/>
      <c r="AH35" s="403"/>
      <c r="AI35" s="403"/>
      <c r="AJ35" s="403"/>
      <c r="AK35" s="403"/>
      <c r="AL35" s="403"/>
    </row>
    <row r="36" spans="1:38">
      <c r="A36" s="440" t="s">
        <v>1555</v>
      </c>
      <c r="B36" s="440">
        <v>7130</v>
      </c>
      <c r="C36" s="433">
        <f t="shared" si="1"/>
        <v>0</v>
      </c>
      <c r="D36" s="405">
        <f t="shared" ref="D36:D43" si="3">SUM(E36:AB36)</f>
        <v>0</v>
      </c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>
        <v>0</v>
      </c>
      <c r="P36" s="393">
        <v>0</v>
      </c>
      <c r="Q36" s="393"/>
      <c r="R36" s="393"/>
      <c r="S36" s="393">
        <v>0</v>
      </c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400"/>
      <c r="AE36" s="400"/>
      <c r="AF36" s="400"/>
      <c r="AG36" s="400"/>
      <c r="AH36" s="400"/>
      <c r="AI36" s="400"/>
      <c r="AJ36" s="400"/>
      <c r="AK36" s="400"/>
      <c r="AL36" s="400"/>
    </row>
    <row r="37" spans="1:38">
      <c r="A37" s="440" t="s">
        <v>1556</v>
      </c>
      <c r="B37" s="440">
        <v>0</v>
      </c>
      <c r="C37" s="433">
        <f t="shared" si="1"/>
        <v>0</v>
      </c>
      <c r="D37" s="405">
        <f t="shared" si="3"/>
        <v>0</v>
      </c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>
        <v>0</v>
      </c>
      <c r="Z37" s="393"/>
      <c r="AA37" s="393"/>
      <c r="AB37" s="393"/>
      <c r="AC37" s="393"/>
      <c r="AD37" s="400"/>
      <c r="AE37" s="400"/>
      <c r="AF37" s="400"/>
      <c r="AG37" s="400"/>
      <c r="AH37" s="400"/>
      <c r="AI37" s="400"/>
      <c r="AJ37" s="400"/>
      <c r="AK37" s="400"/>
      <c r="AL37" s="400"/>
    </row>
    <row r="38" spans="1:38">
      <c r="A38" s="440" t="s">
        <v>1557</v>
      </c>
      <c r="B38" s="440">
        <v>16061</v>
      </c>
      <c r="C38" s="433">
        <f t="shared" si="1"/>
        <v>34164</v>
      </c>
      <c r="D38" s="405">
        <f t="shared" si="3"/>
        <v>34164</v>
      </c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>
        <v>34164</v>
      </c>
      <c r="Z38" s="393"/>
      <c r="AA38" s="393"/>
      <c r="AB38" s="393"/>
      <c r="AC38" s="393"/>
      <c r="AD38" s="400"/>
      <c r="AE38" s="400"/>
      <c r="AF38" s="400"/>
      <c r="AG38" s="400"/>
      <c r="AH38" s="400"/>
      <c r="AI38" s="400"/>
      <c r="AJ38" s="400"/>
      <c r="AK38" s="400"/>
      <c r="AL38" s="400"/>
    </row>
    <row r="39" spans="1:38">
      <c r="A39" s="440" t="s">
        <v>1558</v>
      </c>
      <c r="B39" s="440">
        <v>0</v>
      </c>
      <c r="C39" s="433">
        <f t="shared" si="1"/>
        <v>0</v>
      </c>
      <c r="D39" s="405">
        <f t="shared" si="3"/>
        <v>0</v>
      </c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>
        <v>0</v>
      </c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400"/>
      <c r="AE39" s="400"/>
      <c r="AF39" s="400"/>
      <c r="AG39" s="400"/>
      <c r="AH39" s="400"/>
      <c r="AI39" s="400"/>
      <c r="AJ39" s="400"/>
      <c r="AK39" s="400"/>
      <c r="AL39" s="400"/>
    </row>
    <row r="40" spans="1:38">
      <c r="A40" s="440" t="s">
        <v>1559</v>
      </c>
      <c r="B40" s="440">
        <v>-85400</v>
      </c>
      <c r="C40" s="433">
        <f t="shared" si="1"/>
        <v>0</v>
      </c>
      <c r="D40" s="405">
        <f t="shared" si="3"/>
        <v>0</v>
      </c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>
        <v>0</v>
      </c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400"/>
      <c r="AE40" s="400"/>
      <c r="AF40" s="400"/>
      <c r="AG40" s="400"/>
      <c r="AH40" s="400"/>
      <c r="AI40" s="400"/>
      <c r="AJ40" s="400"/>
      <c r="AK40" s="400"/>
      <c r="AL40" s="400"/>
    </row>
    <row r="41" spans="1:38">
      <c r="A41" s="440" t="s">
        <v>1560</v>
      </c>
      <c r="B41" s="440">
        <v>0</v>
      </c>
      <c r="C41" s="433">
        <f t="shared" si="1"/>
        <v>0</v>
      </c>
      <c r="D41" s="405">
        <f t="shared" si="3"/>
        <v>0</v>
      </c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>
        <v>0</v>
      </c>
      <c r="Z41" s="393"/>
      <c r="AA41" s="393"/>
      <c r="AB41" s="393"/>
      <c r="AC41" s="393"/>
      <c r="AD41" s="400"/>
      <c r="AE41" s="400"/>
      <c r="AF41" s="400"/>
      <c r="AG41" s="400"/>
      <c r="AH41" s="400"/>
      <c r="AI41" s="400"/>
      <c r="AJ41" s="400"/>
      <c r="AK41" s="400"/>
      <c r="AL41" s="400"/>
    </row>
    <row r="42" spans="1:38">
      <c r="A42" s="440" t="s">
        <v>1561</v>
      </c>
      <c r="B42" s="440">
        <v>0</v>
      </c>
      <c r="C42" s="433">
        <f t="shared" si="1"/>
        <v>0</v>
      </c>
      <c r="D42" s="405">
        <f t="shared" si="3"/>
        <v>0</v>
      </c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>
        <v>0</v>
      </c>
      <c r="Z42" s="393"/>
      <c r="AA42" s="393">
        <v>0</v>
      </c>
      <c r="AB42" s="393"/>
      <c r="AC42" s="393"/>
      <c r="AD42" s="400"/>
      <c r="AE42" s="400"/>
      <c r="AF42" s="400"/>
      <c r="AG42" s="400"/>
      <c r="AH42" s="400"/>
      <c r="AI42" s="400"/>
      <c r="AJ42" s="400"/>
      <c r="AK42" s="400"/>
      <c r="AL42" s="400"/>
    </row>
    <row r="43" spans="1:38">
      <c r="A43" s="440" t="s">
        <v>1562</v>
      </c>
      <c r="B43" s="440">
        <v>0</v>
      </c>
      <c r="C43" s="433">
        <f t="shared" si="1"/>
        <v>0</v>
      </c>
      <c r="D43" s="405">
        <f t="shared" si="3"/>
        <v>0</v>
      </c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400"/>
      <c r="AE43" s="400"/>
      <c r="AF43" s="400"/>
      <c r="AG43" s="400"/>
      <c r="AH43" s="400"/>
      <c r="AI43" s="400"/>
      <c r="AJ43" s="400"/>
      <c r="AK43" s="400"/>
      <c r="AL43" s="400"/>
    </row>
    <row r="44" spans="1:38" s="404" customFormat="1">
      <c r="A44" s="439" t="s">
        <v>1563</v>
      </c>
      <c r="B44" s="439">
        <f>SUM(B36:B43)</f>
        <v>-62209</v>
      </c>
      <c r="C44" s="435">
        <f t="shared" si="1"/>
        <v>34164</v>
      </c>
      <c r="D44" s="402">
        <f>SUM(D36:D43)</f>
        <v>34164</v>
      </c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402"/>
      <c r="AD44" s="403"/>
      <c r="AE44" s="403"/>
      <c r="AF44" s="403"/>
      <c r="AG44" s="403"/>
      <c r="AH44" s="403"/>
      <c r="AI44" s="403"/>
      <c r="AJ44" s="403"/>
      <c r="AK44" s="403"/>
      <c r="AL44" s="403"/>
    </row>
    <row r="45" spans="1:38">
      <c r="A45" s="440"/>
      <c r="B45" s="440"/>
      <c r="C45" s="43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400"/>
      <c r="AE45" s="400"/>
      <c r="AF45" s="400"/>
      <c r="AG45" s="400"/>
      <c r="AH45" s="400"/>
      <c r="AI45" s="400"/>
      <c r="AJ45" s="400"/>
      <c r="AK45" s="400"/>
      <c r="AL45" s="400"/>
    </row>
    <row r="46" spans="1:38">
      <c r="A46" s="439" t="s">
        <v>1564</v>
      </c>
      <c r="B46" s="439">
        <f>B44+B32+B22</f>
        <v>458629</v>
      </c>
      <c r="C46" s="435">
        <f>D46</f>
        <v>-839355</v>
      </c>
      <c r="D46" s="393">
        <f>D44+D32+D22</f>
        <v>-839355</v>
      </c>
      <c r="E46" s="393"/>
      <c r="F46" s="393"/>
      <c r="G46" s="393"/>
      <c r="H46" s="393"/>
      <c r="I46" s="393"/>
      <c r="J46" s="393"/>
      <c r="K46" s="393"/>
      <c r="L46" s="393">
        <v>839355</v>
      </c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400"/>
      <c r="AE46" s="400"/>
      <c r="AF46" s="400"/>
      <c r="AG46" s="400"/>
      <c r="AH46" s="400"/>
      <c r="AI46" s="400"/>
      <c r="AJ46" s="400"/>
      <c r="AK46" s="400"/>
      <c r="AL46" s="400"/>
    </row>
    <row r="47" spans="1:38">
      <c r="A47" s="440" t="s">
        <v>1565</v>
      </c>
      <c r="B47" s="440">
        <v>0</v>
      </c>
      <c r="C47" s="435">
        <f>D47</f>
        <v>0</v>
      </c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400"/>
      <c r="AE47" s="400"/>
      <c r="AF47" s="400"/>
      <c r="AG47" s="400"/>
      <c r="AH47" s="400"/>
      <c r="AI47" s="400"/>
      <c r="AJ47" s="400"/>
      <c r="AK47" s="400"/>
      <c r="AL47" s="400"/>
    </row>
    <row r="48" spans="1:38" ht="13.5" thickBot="1">
      <c r="A48" s="441" t="s">
        <v>1566</v>
      </c>
      <c r="B48" s="441">
        <f>SUM(B46:B47)</f>
        <v>458629</v>
      </c>
      <c r="C48" s="436">
        <f>D48</f>
        <v>-839355</v>
      </c>
      <c r="D48" s="393">
        <f>D46+D47</f>
        <v>-839355</v>
      </c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400"/>
      <c r="AE48" s="400"/>
      <c r="AF48" s="400"/>
      <c r="AG48" s="400"/>
      <c r="AH48" s="400"/>
      <c r="AI48" s="400"/>
      <c r="AJ48" s="400"/>
      <c r="AK48" s="400"/>
      <c r="AL48" s="400"/>
    </row>
    <row r="49" spans="1:38">
      <c r="A49" s="402"/>
      <c r="B49" s="402"/>
      <c r="C49" s="402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400"/>
      <c r="AE49" s="400"/>
      <c r="AF49" s="400"/>
      <c r="AG49" s="400"/>
      <c r="AH49" s="400"/>
      <c r="AI49" s="400"/>
      <c r="AJ49" s="400"/>
      <c r="AK49" s="400"/>
      <c r="AL49" s="400"/>
    </row>
    <row r="50" spans="1:38">
      <c r="A50" s="393" t="s">
        <v>1567</v>
      </c>
      <c r="B50" s="393"/>
      <c r="C50" s="393"/>
      <c r="D50" s="393">
        <v>1784792</v>
      </c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400"/>
      <c r="AE50" s="400"/>
      <c r="AF50" s="400"/>
      <c r="AG50" s="400"/>
      <c r="AH50" s="400"/>
      <c r="AI50" s="400"/>
      <c r="AJ50" s="400"/>
      <c r="AK50" s="400"/>
      <c r="AL50" s="400"/>
    </row>
    <row r="51" spans="1:38">
      <c r="A51" s="393" t="s">
        <v>1568</v>
      </c>
      <c r="B51" s="393"/>
      <c r="C51" s="393"/>
      <c r="D51" s="393">
        <v>913736</v>
      </c>
      <c r="E51" s="393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400"/>
      <c r="AE51" s="400"/>
      <c r="AF51" s="400"/>
      <c r="AG51" s="400"/>
      <c r="AH51" s="400"/>
      <c r="AI51" s="400"/>
      <c r="AJ51" s="400"/>
      <c r="AK51" s="400"/>
      <c r="AL51" s="400"/>
    </row>
    <row r="52" spans="1:38">
      <c r="A52" s="393" t="s">
        <v>1569</v>
      </c>
      <c r="B52" s="393"/>
      <c r="C52" s="393"/>
      <c r="D52" s="393">
        <f>D51-D50</f>
        <v>-871056</v>
      </c>
      <c r="E52" s="393">
        <f t="shared" ref="E52:AB52" si="4">SUM(E5:E51)</f>
        <v>0</v>
      </c>
      <c r="F52" s="393">
        <f t="shared" si="4"/>
        <v>0</v>
      </c>
      <c r="G52" s="393">
        <f t="shared" si="4"/>
        <v>0</v>
      </c>
      <c r="H52" s="393">
        <f t="shared" si="4"/>
        <v>0</v>
      </c>
      <c r="I52" s="393">
        <f t="shared" si="4"/>
        <v>0</v>
      </c>
      <c r="J52" s="393">
        <f t="shared" si="4"/>
        <v>0</v>
      </c>
      <c r="K52" s="393">
        <f t="shared" si="4"/>
        <v>0</v>
      </c>
      <c r="L52" s="393">
        <f t="shared" si="4"/>
        <v>0</v>
      </c>
      <c r="M52" s="393">
        <f t="shared" si="4"/>
        <v>0</v>
      </c>
      <c r="N52" s="393">
        <f t="shared" si="4"/>
        <v>0</v>
      </c>
      <c r="O52" s="393">
        <f t="shared" si="4"/>
        <v>0</v>
      </c>
      <c r="P52" s="393">
        <f t="shared" si="4"/>
        <v>0</v>
      </c>
      <c r="Q52" s="393">
        <f t="shared" si="4"/>
        <v>0</v>
      </c>
      <c r="R52" s="393">
        <f t="shared" si="4"/>
        <v>0</v>
      </c>
      <c r="S52" s="393">
        <f t="shared" si="4"/>
        <v>0</v>
      </c>
      <c r="T52" s="393">
        <f t="shared" si="4"/>
        <v>0</v>
      </c>
      <c r="U52" s="393">
        <f>SUM(U5:U51)</f>
        <v>0</v>
      </c>
      <c r="V52" s="393">
        <f>SUM(V5:V51)</f>
        <v>0</v>
      </c>
      <c r="W52" s="393">
        <f t="shared" si="4"/>
        <v>0</v>
      </c>
      <c r="X52" s="393">
        <f t="shared" si="4"/>
        <v>0</v>
      </c>
      <c r="Y52" s="393">
        <f t="shared" si="4"/>
        <v>0</v>
      </c>
      <c r="Z52" s="393">
        <f t="shared" si="4"/>
        <v>0</v>
      </c>
      <c r="AA52" s="393">
        <f t="shared" si="4"/>
        <v>0</v>
      </c>
      <c r="AB52" s="393">
        <f t="shared" si="4"/>
        <v>0</v>
      </c>
      <c r="AC52" s="393">
        <f>SUM(AC5:AC51)</f>
        <v>0</v>
      </c>
      <c r="AD52" s="400"/>
      <c r="AE52" s="400"/>
      <c r="AF52" s="400"/>
      <c r="AG52" s="400"/>
      <c r="AH52" s="400"/>
      <c r="AI52" s="400"/>
      <c r="AJ52" s="400"/>
      <c r="AK52" s="400"/>
      <c r="AL52" s="400"/>
    </row>
    <row r="53" spans="1:38" s="417" customFormat="1">
      <c r="A53" s="414" t="s">
        <v>1570</v>
      </c>
      <c r="B53" s="414"/>
      <c r="C53" s="414"/>
      <c r="D53" s="415">
        <f>+D52-D46</f>
        <v>-31701</v>
      </c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</row>
    <row r="54" spans="1:38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</row>
    <row r="55" spans="1:38" ht="14.1" customHeight="1">
      <c r="A55" s="400"/>
      <c r="B55" s="400"/>
      <c r="C55" s="400"/>
      <c r="D55" s="40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</row>
    <row r="56" spans="1:38" ht="14.1" customHeight="1">
      <c r="A56" s="400"/>
      <c r="B56" s="400"/>
      <c r="C56" s="400"/>
      <c r="D56" s="40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</row>
    <row r="57" spans="1:38">
      <c r="A57" s="400"/>
      <c r="B57" s="400"/>
      <c r="C57" s="400"/>
      <c r="D57" s="400">
        <f>+L52</f>
        <v>0</v>
      </c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</row>
    <row r="58" spans="1:38" ht="19.5" customHeight="1">
      <c r="A58" s="400"/>
      <c r="B58" s="400"/>
      <c r="C58" s="400"/>
      <c r="D58" s="400">
        <f>+D46-D57</f>
        <v>-839355</v>
      </c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</row>
    <row r="59" spans="1:38" ht="14.1" customHeight="1"/>
    <row r="60" spans="1:38" ht="14.1" hidden="1" customHeight="1"/>
    <row r="61" spans="1:38" ht="14.1" hidden="1" customHeight="1"/>
    <row r="62" spans="1:38" ht="14.1" hidden="1" customHeight="1">
      <c r="E62" s="418"/>
      <c r="F62" s="419"/>
      <c r="G62" s="420"/>
      <c r="H62" s="420"/>
      <c r="I62" s="420"/>
    </row>
    <row r="63" spans="1:38" ht="14.1" hidden="1" customHeight="1">
      <c r="E63" s="418"/>
      <c r="F63" s="419"/>
      <c r="G63" s="420"/>
      <c r="H63" s="420"/>
      <c r="I63" s="420"/>
      <c r="J63" s="420"/>
    </row>
    <row r="64" spans="1:38" ht="14.1" hidden="1" customHeight="1"/>
    <row r="65" spans="1:10" ht="14.1" customHeight="1"/>
    <row r="66" spans="1:10" ht="14.1" customHeight="1">
      <c r="A66"/>
      <c r="B66"/>
      <c r="C66"/>
      <c r="D66" s="421" t="s">
        <v>1571</v>
      </c>
      <c r="E66" s="422" t="s">
        <v>1572</v>
      </c>
      <c r="F66" s="423"/>
      <c r="G66" s="423"/>
      <c r="H66" s="423">
        <v>-135337</v>
      </c>
      <c r="I66" s="420"/>
    </row>
    <row r="67" spans="1:10" ht="14.1" customHeight="1">
      <c r="D67" s="421" t="s">
        <v>1573</v>
      </c>
      <c r="E67" s="422" t="s">
        <v>1574</v>
      </c>
      <c r="F67" s="424"/>
      <c r="G67" s="424"/>
      <c r="H67" s="423">
        <v>116672</v>
      </c>
    </row>
    <row r="68" spans="1:10" ht="14.1" customHeight="1">
      <c r="D68" s="424"/>
      <c r="E68" s="424"/>
      <c r="F68" s="424"/>
      <c r="G68" s="424"/>
      <c r="H68" s="425">
        <f>SUM(H66:H67)</f>
        <v>-18665</v>
      </c>
    </row>
    <row r="69" spans="1:10" ht="14.1" customHeight="1">
      <c r="D69" s="424"/>
      <c r="E69" s="424"/>
      <c r="F69" s="424"/>
      <c r="G69" s="424"/>
      <c r="H69" s="423"/>
    </row>
    <row r="70" spans="1:10" ht="14.1" customHeight="1">
      <c r="D70" s="421">
        <v>861100</v>
      </c>
      <c r="E70" s="422" t="s">
        <v>1575</v>
      </c>
      <c r="F70" s="422"/>
      <c r="G70" s="424"/>
      <c r="H70" s="423">
        <v>0</v>
      </c>
      <c r="J70" s="420"/>
    </row>
    <row r="71" spans="1:10" ht="14.1" customHeight="1">
      <c r="D71" s="421" t="s">
        <v>1576</v>
      </c>
      <c r="E71" s="422" t="s">
        <v>1577</v>
      </c>
      <c r="F71" s="422"/>
      <c r="G71" s="424"/>
      <c r="H71" s="423">
        <v>3421</v>
      </c>
      <c r="J71" s="420"/>
    </row>
    <row r="72" spans="1:10" ht="14.1" customHeight="1">
      <c r="D72" s="421"/>
      <c r="E72" s="422"/>
      <c r="F72" s="423"/>
      <c r="G72" s="423"/>
      <c r="H72" s="423"/>
      <c r="J72" s="420"/>
    </row>
    <row r="73" spans="1:10" ht="14.1" customHeight="1">
      <c r="D73" s="424"/>
      <c r="E73" s="424"/>
      <c r="F73" s="424"/>
      <c r="G73" s="424"/>
      <c r="H73" s="423"/>
    </row>
    <row r="74" spans="1:10" ht="13.5" customHeight="1">
      <c r="D74" s="421">
        <v>966200</v>
      </c>
      <c r="E74" s="422" t="s">
        <v>1578</v>
      </c>
      <c r="F74" s="424"/>
      <c r="G74" s="424"/>
      <c r="H74" s="426">
        <v>-1230</v>
      </c>
    </row>
    <row r="75" spans="1:10" ht="13.5" customHeight="1">
      <c r="D75" s="421">
        <v>966200</v>
      </c>
      <c r="E75" s="422" t="s">
        <v>1579</v>
      </c>
      <c r="F75" s="424"/>
      <c r="G75" s="424"/>
      <c r="H75" s="427">
        <v>-1149</v>
      </c>
    </row>
    <row r="76" spans="1:10" ht="14.1" customHeight="1">
      <c r="D76" s="421">
        <v>866200</v>
      </c>
      <c r="E76" s="422" t="s">
        <v>1580</v>
      </c>
      <c r="F76" s="424"/>
      <c r="G76" s="424"/>
      <c r="H76" s="426">
        <v>1543</v>
      </c>
    </row>
    <row r="77" spans="1:10" ht="14.1" customHeight="1">
      <c r="D77" s="421">
        <v>866200</v>
      </c>
      <c r="E77" s="422" t="s">
        <v>1581</v>
      </c>
      <c r="F77" s="424"/>
      <c r="G77" s="424"/>
      <c r="H77" s="427">
        <v>305</v>
      </c>
    </row>
    <row r="78" spans="1:10" ht="14.1" customHeight="1">
      <c r="D78" s="424"/>
      <c r="E78" s="424"/>
      <c r="F78" s="424"/>
      <c r="G78" s="424"/>
      <c r="H78" s="423">
        <f>SUM(H74:H77)</f>
        <v>-531</v>
      </c>
    </row>
    <row r="79" spans="1:10" ht="14.1" customHeight="1">
      <c r="D79" s="424"/>
      <c r="E79" s="424"/>
      <c r="F79" s="424"/>
      <c r="G79" s="424"/>
      <c r="H79" s="423"/>
    </row>
    <row r="80" spans="1:10" ht="14.1" customHeight="1">
      <c r="D80" s="428" t="s">
        <v>1582</v>
      </c>
      <c r="E80" s="422" t="s">
        <v>1583</v>
      </c>
      <c r="F80" s="424"/>
      <c r="G80" s="424"/>
      <c r="H80" s="423">
        <v>-50917</v>
      </c>
    </row>
    <row r="81" spans="4:11" ht="14.1" customHeight="1">
      <c r="D81" s="428" t="s">
        <v>1584</v>
      </c>
      <c r="E81" s="422" t="s">
        <v>1585</v>
      </c>
      <c r="F81" s="424"/>
      <c r="G81" s="424"/>
      <c r="H81" s="423">
        <v>103391</v>
      </c>
    </row>
    <row r="82" spans="4:11" ht="14.1" customHeight="1">
      <c r="D82" s="424"/>
      <c r="E82" s="424"/>
      <c r="F82" s="424"/>
      <c r="G82" s="424"/>
      <c r="H82" s="429">
        <f>SUM(H80:H81)</f>
        <v>52474</v>
      </c>
    </row>
    <row r="83" spans="4:11" ht="14.1" customHeight="1">
      <c r="D83" s="424"/>
      <c r="E83" s="424"/>
      <c r="F83" s="424"/>
      <c r="G83" s="424"/>
      <c r="H83" s="423"/>
    </row>
    <row r="84" spans="4:11" ht="14.1" customHeight="1">
      <c r="D84" s="421">
        <v>869200</v>
      </c>
      <c r="E84" s="422" t="s">
        <v>1586</v>
      </c>
      <c r="F84" s="424"/>
      <c r="G84" s="424"/>
      <c r="H84" s="430">
        <v>0</v>
      </c>
    </row>
    <row r="85" spans="4:11" ht="14.1" customHeight="1">
      <c r="D85" s="421">
        <v>866400</v>
      </c>
      <c r="E85" s="422" t="s">
        <v>1587</v>
      </c>
      <c r="F85" s="424"/>
      <c r="G85" s="424"/>
      <c r="H85" s="431">
        <v>12711</v>
      </c>
      <c r="J85" s="420"/>
      <c r="K85" s="432"/>
    </row>
    <row r="86" spans="4:11" ht="14.1" customHeight="1">
      <c r="D86" s="424"/>
      <c r="E86" s="424"/>
      <c r="F86" s="424"/>
      <c r="G86" s="424"/>
      <c r="H86" s="423">
        <f>SUM(H84:H85)</f>
        <v>12711</v>
      </c>
    </row>
    <row r="87" spans="4:11" ht="14.1" customHeight="1">
      <c r="D87" s="424"/>
      <c r="E87" s="424"/>
      <c r="F87" s="424"/>
      <c r="G87" s="424"/>
      <c r="H87" s="423"/>
    </row>
    <row r="88" spans="4:11" ht="14.1" customHeight="1">
      <c r="D88" s="428" t="s">
        <v>1588</v>
      </c>
      <c r="E88" s="422" t="s">
        <v>1589</v>
      </c>
      <c r="F88" s="424"/>
      <c r="G88" s="424"/>
      <c r="H88" s="423">
        <v>0</v>
      </c>
    </row>
    <row r="89" spans="4:11" ht="14.1" customHeight="1">
      <c r="D89" s="424"/>
      <c r="E89" s="424"/>
      <c r="F89" s="424"/>
      <c r="G89" s="424"/>
      <c r="H89" s="424"/>
    </row>
    <row r="90" spans="4:11" ht="14.1" customHeight="1">
      <c r="D90" s="424"/>
      <c r="E90" s="424"/>
      <c r="F90" s="424"/>
      <c r="G90" s="424"/>
      <c r="H90" s="424"/>
    </row>
    <row r="91" spans="4:11" ht="14.1" customHeight="1">
      <c r="D91" s="424"/>
      <c r="E91" s="424"/>
      <c r="F91" s="424"/>
      <c r="G91" s="424"/>
      <c r="H91" s="424"/>
    </row>
    <row r="92" spans="4:11" ht="14.1" customHeight="1">
      <c r="D92" s="424"/>
      <c r="E92" s="424"/>
      <c r="F92" s="424"/>
      <c r="G92" s="424"/>
      <c r="H92" s="424"/>
    </row>
    <row r="93" spans="4:11" ht="14.1" customHeight="1">
      <c r="D93" s="424"/>
      <c r="E93" s="424"/>
      <c r="F93" s="424"/>
      <c r="G93" s="424"/>
      <c r="H93" s="424"/>
    </row>
    <row r="94" spans="4:11" ht="14.1" customHeight="1">
      <c r="D94" s="424"/>
      <c r="E94" s="424"/>
      <c r="F94" s="424"/>
      <c r="G94" s="424"/>
      <c r="H94" s="424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1">
    <tabColor rgb="FFA9D08E"/>
  </sheetPr>
  <dimension ref="A1:AH45"/>
  <sheetViews>
    <sheetView topLeftCell="A25" workbookViewId="0">
      <selection sqref="A1:IV1"/>
    </sheetView>
  </sheetViews>
  <sheetFormatPr defaultColWidth="3.109375" defaultRowHeight="15"/>
  <cols>
    <col min="19" max="19" width="2.88671875" customWidth="1"/>
  </cols>
  <sheetData>
    <row r="1" spans="1:34" ht="21" customHeight="1">
      <c r="A1" s="31" t="str">
        <f>MID(Alapadatok!E6,1,1)</f>
        <v>1</v>
      </c>
      <c r="B1" s="32" t="str">
        <f>MID(Alapadatok!E6,2,1)</f>
        <v>0</v>
      </c>
      <c r="C1" s="32" t="str">
        <f>MID(Alapadatok!E6,3,1)</f>
        <v>2</v>
      </c>
      <c r="D1" s="32" t="str">
        <f>MID(Alapadatok!E6,4,1)</f>
        <v>3</v>
      </c>
      <c r="E1" s="32" t="str">
        <f>MID(Alapadatok!E6,5,1)</f>
        <v>3</v>
      </c>
      <c r="F1" s="32" t="str">
        <f>MID(Alapadatok!E6,6,1)</f>
        <v>3</v>
      </c>
      <c r="G1" s="32" t="str">
        <f>MID(Alapadatok!E6,7,1)</f>
        <v>4</v>
      </c>
      <c r="H1" s="33" t="str">
        <f>MID(Alapadatok!E6,8,1)</f>
        <v>2</v>
      </c>
      <c r="I1" s="31" t="str">
        <f>MID(Alapadatok!E6,10,1)</f>
        <v>4</v>
      </c>
      <c r="J1" s="32" t="str">
        <f>MID(Alapadatok!E6,11,1)</f>
        <v>7</v>
      </c>
      <c r="K1" s="32" t="str">
        <f>MID(Alapadatok!E6,12,1)</f>
        <v>5</v>
      </c>
      <c r="L1" s="34" t="str">
        <f>MID(Alapadatok!E6,13,1)</f>
        <v>4</v>
      </c>
      <c r="M1" s="31" t="str">
        <f>MID(Alapadatok!E6,15,1)</f>
        <v>1</v>
      </c>
      <c r="N1" s="32" t="str">
        <f>MID(Alapadatok!E6,16,1)</f>
        <v>1</v>
      </c>
      <c r="O1" s="34" t="str">
        <f>MID(Alapadatok!E6,17,1)</f>
        <v>3</v>
      </c>
      <c r="P1" s="31" t="str">
        <f>MID(Alapadatok!E6,19,1)</f>
        <v>1</v>
      </c>
      <c r="Q1" s="34" t="str">
        <f>MID(Alapadatok!E6,20,1)</f>
        <v>9</v>
      </c>
      <c r="AA1" s="208" t="s">
        <v>336</v>
      </c>
      <c r="AB1" s="206"/>
      <c r="AC1" s="206"/>
      <c r="AD1" s="206"/>
      <c r="AE1" s="206"/>
      <c r="AF1" s="206"/>
      <c r="AG1" s="206"/>
      <c r="AH1" s="206"/>
    </row>
    <row r="2" spans="1:34">
      <c r="A2" s="457" t="s">
        <v>472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</row>
    <row r="4" spans="1:34" ht="21" customHeight="1">
      <c r="A4" s="31" t="str">
        <f>MID(Alapadatok!E7,1,1)</f>
        <v>1</v>
      </c>
      <c r="B4" s="33" t="str">
        <f>MID(Alapadatok!E7,2,1)</f>
        <v>9</v>
      </c>
      <c r="C4" s="36" t="s">
        <v>337</v>
      </c>
      <c r="D4" s="37" t="str">
        <f>MID(Alapadatok!E7,4,1)</f>
        <v>0</v>
      </c>
      <c r="E4" s="33" t="str">
        <f>MID(Alapadatok!E7,5,1)</f>
        <v>9</v>
      </c>
      <c r="F4" s="36" t="s">
        <v>337</v>
      </c>
      <c r="G4" s="37" t="str">
        <f>MID(Alapadatok!E7,7,1)</f>
        <v>5</v>
      </c>
      <c r="H4" s="32" t="str">
        <f>MID(Alapadatok!E7,8,1)</f>
        <v>1</v>
      </c>
      <c r="I4" s="32" t="str">
        <f>MID(Alapadatok!E7,9,1)</f>
        <v>3</v>
      </c>
      <c r="J4" s="32" t="str">
        <f>MID(Alapadatok!E7,10,1)</f>
        <v>3</v>
      </c>
      <c r="K4" s="32" t="str">
        <f>MID(Alapadatok!E7,11,1)</f>
        <v>4</v>
      </c>
      <c r="L4" s="34" t="str">
        <f>MID(Alapadatok!E7,12,1)</f>
        <v>1</v>
      </c>
    </row>
    <row r="5" spans="1:34">
      <c r="A5" s="457" t="s">
        <v>473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</row>
    <row r="12" spans="1:34" ht="15.75">
      <c r="A12" s="511" t="str">
        <f>Alapadatok!E9</f>
        <v>VÖRÖSKŐ KFT.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2" t="s">
        <v>474</v>
      </c>
      <c r="R12" s="512"/>
      <c r="S12" s="512"/>
      <c r="T12" s="512"/>
      <c r="U12" s="512"/>
      <c r="V12" s="512"/>
      <c r="W12" s="512"/>
    </row>
    <row r="15" spans="1:34" ht="15.75">
      <c r="A15" s="513" t="str">
        <f>CONCATENATE(Alapadatok!E10,IF(Alapadatok!E11=0,"",CONCATENATE(",     ",Alapadatok!E11)))</f>
        <v>Veszprém, Pápai út 36.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2" t="s">
        <v>475</v>
      </c>
      <c r="Q15" s="512"/>
      <c r="R15" s="512"/>
      <c r="S15" s="512"/>
      <c r="T15" s="512"/>
      <c r="U15" s="512"/>
      <c r="V15" s="512"/>
      <c r="W15" s="512"/>
    </row>
    <row r="24" spans="1:23" ht="15.75">
      <c r="I24" s="459" t="str">
        <f>Alapadatok!E13&amp;"."</f>
        <v>2023 üzleti év I. félév.</v>
      </c>
      <c r="J24" s="459"/>
      <c r="K24" s="459"/>
      <c r="L24" s="459"/>
      <c r="M24" s="459"/>
      <c r="N24" s="459"/>
      <c r="O24" s="459"/>
    </row>
    <row r="25" spans="1:23" ht="12.75" customHeight="1">
      <c r="H25" s="42"/>
      <c r="I25" s="42"/>
      <c r="J25" s="42"/>
      <c r="K25" s="42"/>
      <c r="L25" s="42"/>
      <c r="M25" s="42"/>
      <c r="N25" s="42"/>
    </row>
    <row r="27" spans="1:23" ht="23.25">
      <c r="A27" s="514" t="s">
        <v>1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</row>
    <row r="30" spans="1:23">
      <c r="A30" s="460" t="str">
        <f>IF(Alapadatok!$E$16=1,(IF(Beszámoló!$F$2=1,Nyelv_old!$E$26,IF(Beszámoló!$F$2=2,Nyelv_old!$F$26,IF(Beszámoló!$F$2=3,Nyelv_old!$G$26,Nyelv_old!$H$26)))),"")</f>
        <v/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</row>
    <row r="43" spans="1:22">
      <c r="A43" s="515" t="str">
        <f>CONCATENATE("Keltezés: ",Alapadatok!$E$12)</f>
        <v>Keltezés: Veszprém, 2023. január 30</v>
      </c>
      <c r="B43" s="515"/>
      <c r="C43" s="515"/>
      <c r="D43" s="515"/>
      <c r="E43" s="515"/>
      <c r="F43" s="515"/>
      <c r="G43" s="515"/>
      <c r="H43" s="515"/>
      <c r="I43" s="515"/>
      <c r="O43" s="47"/>
      <c r="P43" s="47"/>
      <c r="Q43" s="47"/>
      <c r="R43" s="47"/>
      <c r="S43" s="47"/>
      <c r="T43" s="47"/>
      <c r="U43" s="47"/>
      <c r="V43" s="47"/>
    </row>
    <row r="44" spans="1:22">
      <c r="O44" s="457" t="s">
        <v>476</v>
      </c>
      <c r="P44" s="457"/>
      <c r="Q44" s="457"/>
      <c r="R44" s="457"/>
      <c r="S44" s="457"/>
      <c r="T44" s="457"/>
      <c r="U44" s="457"/>
      <c r="V44" s="457"/>
    </row>
    <row r="45" spans="1:22">
      <c r="O45" s="457" t="s">
        <v>477</v>
      </c>
      <c r="P45" s="457"/>
      <c r="Q45" s="457"/>
      <c r="R45" s="457"/>
      <c r="S45" s="457"/>
      <c r="T45" s="457"/>
      <c r="U45" s="457"/>
      <c r="V45" s="457"/>
    </row>
  </sheetData>
  <sheetProtection selectLockedCells="1" selectUnlockedCells="1"/>
  <mergeCells count="12">
    <mergeCell ref="O45:V45"/>
    <mergeCell ref="A2:Q2"/>
    <mergeCell ref="A5:L5"/>
    <mergeCell ref="A12:P12"/>
    <mergeCell ref="Q12:W12"/>
    <mergeCell ref="A15:O15"/>
    <mergeCell ref="P15:W15"/>
    <mergeCell ref="I24:O24"/>
    <mergeCell ref="A27:W27"/>
    <mergeCell ref="A30:W30"/>
    <mergeCell ref="A43:I43"/>
    <mergeCell ref="O44:V44"/>
  </mergeCells>
  <hyperlinks>
    <hyperlink ref="AA1" location="Beszámoló!A1" display="Vissza a beszámolóhoz" xr:uid="{00000000-0004-0000-0A00-000000000000}"/>
  </hyperlinks>
  <pageMargins left="0.74803149606299213" right="0.74803149606299213" top="0.98425196850393704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2">
    <tabColor rgb="FFA9D08E"/>
  </sheetPr>
  <dimension ref="A1:K48"/>
  <sheetViews>
    <sheetView workbookViewId="0">
      <selection sqref="A1:B1"/>
    </sheetView>
  </sheetViews>
  <sheetFormatPr defaultColWidth="8.88671875" defaultRowHeight="12.75"/>
  <cols>
    <col min="1" max="1" width="5.77734375" style="11" customWidth="1"/>
    <col min="2" max="2" width="28.77734375" style="11" customWidth="1"/>
    <col min="3" max="3" width="3.33203125" style="11" customWidth="1"/>
    <col min="4" max="7" width="8.33203125" style="11" customWidth="1"/>
    <col min="8" max="16384" width="8.88671875" style="11"/>
  </cols>
  <sheetData>
    <row r="1" spans="1:11" customFormat="1" ht="12.75" customHeight="1">
      <c r="A1" s="506" t="str">
        <f>CONCATENATE(" Statisztikai számjel: ",Alapadatok!$E$6)</f>
        <v xml:space="preserve"> Statisztikai számjel: 10233342-4754-113-19</v>
      </c>
      <c r="B1" s="506"/>
      <c r="C1" s="65"/>
      <c r="D1" s="507"/>
      <c r="E1" s="507"/>
      <c r="F1" s="507"/>
      <c r="G1" s="507"/>
      <c r="I1" s="51"/>
    </row>
    <row r="2" spans="1:11" customFormat="1" ht="12.75" customHeight="1">
      <c r="A2" s="506" t="str">
        <f>CONCATENATE(" Cégjegyzék szám: ",Alapadatok!$E$7)</f>
        <v xml:space="preserve"> Cégjegyzék szám: 19-09-513341</v>
      </c>
      <c r="B2" s="506"/>
      <c r="C2" s="45"/>
      <c r="D2" s="507"/>
      <c r="E2" s="507"/>
      <c r="F2" s="507"/>
      <c r="G2" s="507"/>
      <c r="I2" s="208" t="s">
        <v>336</v>
      </c>
      <c r="J2" s="206"/>
      <c r="K2" s="206"/>
    </row>
    <row r="3" spans="1:11" customFormat="1" ht="12.75" customHeight="1">
      <c r="A3" s="11"/>
    </row>
    <row r="4" spans="1:11" customFormat="1" ht="12.75" customHeight="1">
      <c r="A4" s="506" t="str">
        <f>Alapadatok!$E$9</f>
        <v>VÖRÖSKŐ KFT.</v>
      </c>
      <c r="B4" s="506"/>
      <c r="C4" s="10"/>
      <c r="D4" s="10"/>
      <c r="F4" s="493"/>
      <c r="G4" s="493"/>
    </row>
    <row r="5" spans="1:11" customFormat="1" ht="12.75" customHeight="1">
      <c r="A5" s="10"/>
      <c r="B5" s="10"/>
      <c r="C5" s="10"/>
      <c r="D5" s="10"/>
      <c r="G5" s="52"/>
    </row>
    <row r="6" spans="1:11" customFormat="1" ht="15" customHeight="1">
      <c r="A6" s="490" t="s">
        <v>1</v>
      </c>
      <c r="B6" s="490"/>
      <c r="C6" s="490"/>
      <c r="D6" s="490"/>
      <c r="E6" s="490"/>
      <c r="F6" s="490"/>
      <c r="G6" s="490"/>
    </row>
    <row r="7" spans="1:11" customFormat="1" ht="15" customHeight="1">
      <c r="A7" s="495" t="s">
        <v>478</v>
      </c>
      <c r="B7" s="495"/>
      <c r="C7" s="495"/>
      <c r="D7" s="495"/>
      <c r="E7" s="495"/>
      <c r="F7" s="495"/>
      <c r="G7" s="495"/>
    </row>
    <row r="8" spans="1:11" customFormat="1" ht="15" customHeight="1">
      <c r="A8" s="496"/>
      <c r="B8" s="496"/>
      <c r="C8" s="496"/>
      <c r="D8" s="496"/>
      <c r="E8" s="496"/>
      <c r="F8" s="496"/>
      <c r="G8" s="496"/>
    </row>
    <row r="9" spans="1:11" customFormat="1" ht="12.75" customHeight="1">
      <c r="A9" s="506" t="str">
        <f>IF(Beszámoló!$F$2=1,Nyelv_old!$E$15,IF(Beszámoló!$F$2=2,Nyelv_old!$F$15,IF(Beszámoló!$F$2=3,Nyelv_old!$G$15,Nyelv_old!$H$15)))</f>
        <v>Eszközök(aktívák)</v>
      </c>
      <c r="B9" s="506"/>
      <c r="C9" s="27"/>
      <c r="D9" s="27"/>
      <c r="E9" s="27"/>
      <c r="F9" s="27"/>
      <c r="G9" s="27"/>
    </row>
    <row r="10" spans="1:11" customFormat="1" ht="12.75" customHeight="1" thickBot="1">
      <c r="A10" s="53"/>
      <c r="B10" s="54"/>
      <c r="C10" s="53"/>
      <c r="D10" s="53"/>
      <c r="E10" s="53"/>
      <c r="F10" s="498" t="str">
        <f>IF(Beszámoló!$F$2=1,Nyelv_old!$E$16,IF(Beszámoló!$F$2=2,Nyelv_old!$F$16,IF(Beszámoló!$F$2=3,Nyelv_old!$G$16,Nyelv_old!$H$16)))</f>
        <v>adatok E Ft-ban</v>
      </c>
      <c r="G10" s="498"/>
    </row>
    <row r="11" spans="1:11" ht="36.75" customHeight="1">
      <c r="A11" s="55" t="str">
        <f>IF(Beszámoló!$F$2=1,Nyelv_old!$E$17,IF(Beszámoló!$F$2=2,Nyelv_old!$F$17,IF(Beszámoló!$F$2=3,Nyelv_old!$G$17,Nyelv_old!$H$17)))</f>
        <v>Sorszám</v>
      </c>
      <c r="B11" s="499" t="str">
        <f>IF(Beszámoló!$F$2=1,Nyelv_old!$E$18,IF(Beszámoló!$F$2=2,Nyelv_old!$F$18,IF(Beszámoló!$F$2=3,Nyelv_old!$G$18,Nyelv_old!$H$18)))</f>
        <v>A tétel megnevezése</v>
      </c>
      <c r="C11" s="499"/>
      <c r="D11" s="499"/>
      <c r="E11" s="56" t="str">
        <f>IF(Beszámoló!$F$2=1,Nyelv_old!$E$19,IF(Beszámoló!$F$2=2,Nyelv_old!$F$19,IF(Beszámoló!$F$2=3,Nyelv_old!$G$19,Nyelv_old!$H$19)))</f>
        <v>Előző év</v>
      </c>
      <c r="F11" s="57" t="str">
        <f>IF(Beszámoló!$F$2=1,Nyelv_old!$E$20,IF(Beszámoló!$F$2=2,Nyelv_old!$F$20,IF(Beszámoló!$F$2=3,Nyelv_old!$G$20,Nyelv_old!$H$20)))</f>
        <v>Előző év(ek) módosításai</v>
      </c>
      <c r="G11" s="58" t="str">
        <f>IF(Beszámoló!$F$2=1,Nyelv_old!$E$21,IF(Beszámoló!$F$2=2,Nyelv_old!$F$21,IF(Beszámoló!$F$2=3,Nyelv_old!$G$21,Nyelv_old!$H$21)))</f>
        <v>Tárgyév</v>
      </c>
    </row>
    <row r="12" spans="1:11" ht="12" customHeight="1" thickBot="1">
      <c r="A12" s="59" t="s">
        <v>345</v>
      </c>
      <c r="B12" s="500" t="s">
        <v>346</v>
      </c>
      <c r="C12" s="500"/>
      <c r="D12" s="500"/>
      <c r="E12" s="61" t="s">
        <v>347</v>
      </c>
      <c r="F12" s="60" t="s">
        <v>348</v>
      </c>
      <c r="G12" s="62" t="s">
        <v>349</v>
      </c>
    </row>
    <row r="13" spans="1:11" s="87" customFormat="1" ht="15" customHeight="1">
      <c r="A13" s="86" t="s">
        <v>350</v>
      </c>
      <c r="B13" s="516" t="s">
        <v>479</v>
      </c>
      <c r="C13" s="517"/>
      <c r="D13" s="517"/>
      <c r="E13" s="219">
        <f>Adatbevitel!C3</f>
        <v>6187666</v>
      </c>
      <c r="F13" s="219">
        <f>Adatbevitel!D3</f>
        <v>0</v>
      </c>
      <c r="G13" s="220">
        <f>Adatbevitel!E3</f>
        <v>6446950</v>
      </c>
    </row>
    <row r="14" spans="1:11" s="87" customFormat="1" ht="15" customHeight="1">
      <c r="A14" s="88" t="s">
        <v>351</v>
      </c>
      <c r="B14" s="518" t="s">
        <v>480</v>
      </c>
      <c r="C14" s="518"/>
      <c r="D14" s="518"/>
      <c r="E14" s="246">
        <f>Adatbevitel!C4</f>
        <v>790451</v>
      </c>
      <c r="F14" s="246">
        <f>Adatbevitel!D4</f>
        <v>0</v>
      </c>
      <c r="G14" s="247">
        <f>Adatbevitel!E4</f>
        <v>745320</v>
      </c>
    </row>
    <row r="15" spans="1:11" s="87" customFormat="1" ht="15" customHeight="1">
      <c r="A15" s="88" t="s">
        <v>352</v>
      </c>
      <c r="B15" s="518" t="s">
        <v>481</v>
      </c>
      <c r="C15" s="518"/>
      <c r="D15" s="518"/>
      <c r="E15" s="246">
        <f>Adatbevitel!C12</f>
        <v>5185702</v>
      </c>
      <c r="F15" s="246">
        <f>Adatbevitel!D12</f>
        <v>0</v>
      </c>
      <c r="G15" s="247">
        <f>Adatbevitel!E12</f>
        <v>5501362</v>
      </c>
    </row>
    <row r="16" spans="1:11" s="87" customFormat="1" ht="15" customHeight="1">
      <c r="A16" s="88" t="s">
        <v>353</v>
      </c>
      <c r="B16" s="518" t="s">
        <v>482</v>
      </c>
      <c r="C16" s="518"/>
      <c r="D16" s="518"/>
      <c r="E16" s="246">
        <f>Adatbevitel!C20</f>
        <v>211513</v>
      </c>
      <c r="F16" s="246">
        <f>Adatbevitel!D20</f>
        <v>0</v>
      </c>
      <c r="G16" s="247">
        <f>Adatbevitel!E20</f>
        <v>200268</v>
      </c>
    </row>
    <row r="17" spans="1:7" s="87" customFormat="1" ht="15" customHeight="1">
      <c r="A17" s="88" t="s">
        <v>354</v>
      </c>
      <c r="B17" s="516" t="s">
        <v>483</v>
      </c>
      <c r="C17" s="519"/>
      <c r="D17" s="519"/>
      <c r="E17" s="221">
        <f>Adatbevitel!C31</f>
        <v>31033929</v>
      </c>
      <c r="F17" s="221">
        <f>Adatbevitel!D31</f>
        <v>0</v>
      </c>
      <c r="G17" s="222">
        <f>Adatbevitel!E31</f>
        <v>32899160</v>
      </c>
    </row>
    <row r="18" spans="1:7" s="87" customFormat="1" ht="15" customHeight="1">
      <c r="A18" s="88" t="s">
        <v>355</v>
      </c>
      <c r="B18" s="518" t="s">
        <v>484</v>
      </c>
      <c r="C18" s="518"/>
      <c r="D18" s="518"/>
      <c r="E18" s="246">
        <f>Adatbevitel!C32</f>
        <v>23726206</v>
      </c>
      <c r="F18" s="246">
        <f>Adatbevitel!D32</f>
        <v>0</v>
      </c>
      <c r="G18" s="247">
        <f>Adatbevitel!E32</f>
        <v>17841586</v>
      </c>
    </row>
    <row r="19" spans="1:7" s="87" customFormat="1" ht="15" customHeight="1">
      <c r="A19" s="88" t="s">
        <v>356</v>
      </c>
      <c r="B19" s="518" t="s">
        <v>485</v>
      </c>
      <c r="C19" s="518"/>
      <c r="D19" s="518"/>
      <c r="E19" s="246">
        <f>Adatbevitel!C39</f>
        <v>4167531</v>
      </c>
      <c r="F19" s="246">
        <f>Adatbevitel!D39</f>
        <v>0</v>
      </c>
      <c r="G19" s="247">
        <f>Adatbevitel!E39</f>
        <v>4999785</v>
      </c>
    </row>
    <row r="20" spans="1:7" s="87" customFormat="1" ht="15" customHeight="1">
      <c r="A20" s="88" t="s">
        <v>357</v>
      </c>
      <c r="B20" s="518" t="s">
        <v>486</v>
      </c>
      <c r="C20" s="518"/>
      <c r="D20" s="518"/>
      <c r="E20" s="246">
        <f>Adatbevitel!C48</f>
        <v>929831</v>
      </c>
      <c r="F20" s="246">
        <f>Adatbevitel!D48</f>
        <v>0</v>
      </c>
      <c r="G20" s="247">
        <f>Adatbevitel!E48</f>
        <v>0</v>
      </c>
    </row>
    <row r="21" spans="1:7" s="87" customFormat="1" ht="15" customHeight="1">
      <c r="A21" s="88" t="s">
        <v>358</v>
      </c>
      <c r="B21" s="518" t="s">
        <v>487</v>
      </c>
      <c r="C21" s="518"/>
      <c r="D21" s="518"/>
      <c r="E21" s="246">
        <f>Adatbevitel!C55</f>
        <v>2210361</v>
      </c>
      <c r="F21" s="246">
        <f>Adatbevitel!D55</f>
        <v>0</v>
      </c>
      <c r="G21" s="247">
        <f>Adatbevitel!E55</f>
        <v>10057789</v>
      </c>
    </row>
    <row r="22" spans="1:7" s="87" customFormat="1" ht="15" customHeight="1">
      <c r="A22" s="88" t="s">
        <v>359</v>
      </c>
      <c r="B22" s="519" t="s">
        <v>488</v>
      </c>
      <c r="C22" s="519"/>
      <c r="D22" s="519"/>
      <c r="E22" s="221">
        <f>Adatbevitel!C58</f>
        <v>463132</v>
      </c>
      <c r="F22" s="221">
        <f>Adatbevitel!D58</f>
        <v>0</v>
      </c>
      <c r="G22" s="222">
        <f>Adatbevitel!E58</f>
        <v>2232416</v>
      </c>
    </row>
    <row r="23" spans="1:7" s="87" customFormat="1" ht="15" customHeight="1" thickBot="1">
      <c r="A23" s="89" t="s">
        <v>360</v>
      </c>
      <c r="B23" s="520" t="s">
        <v>489</v>
      </c>
      <c r="C23" s="521"/>
      <c r="D23" s="521"/>
      <c r="E23" s="223">
        <f>Adatbevitel!C62</f>
        <v>37684727</v>
      </c>
      <c r="F23" s="223">
        <f>Adatbevitel!D62</f>
        <v>0</v>
      </c>
      <c r="G23" s="224">
        <f>Adatbevitel!E62</f>
        <v>41578526</v>
      </c>
    </row>
    <row r="24" spans="1:7" s="87" customFormat="1" ht="12.75" customHeight="1">
      <c r="A24" s="70"/>
    </row>
    <row r="25" spans="1:7" s="87" customFormat="1" ht="12.75" customHeight="1">
      <c r="A25" s="70"/>
    </row>
    <row r="26" spans="1:7" s="87" customFormat="1" ht="12.75" customHeight="1">
      <c r="A26" s="506" t="s">
        <v>490</v>
      </c>
      <c r="B26" s="506"/>
      <c r="C26" s="71"/>
    </row>
    <row r="27" spans="1:7" s="87" customFormat="1" ht="12.75" customHeight="1" thickBot="1">
      <c r="A27" s="70"/>
    </row>
    <row r="28" spans="1:7" s="87" customFormat="1" ht="15" customHeight="1">
      <c r="A28" s="86" t="s">
        <v>361</v>
      </c>
      <c r="B28" s="522" t="s">
        <v>491</v>
      </c>
      <c r="C28" s="517"/>
      <c r="D28" s="517"/>
      <c r="E28" s="219">
        <f>Adatbevitel!C63</f>
        <v>8482451</v>
      </c>
      <c r="F28" s="219">
        <f>Adatbevitel!D63</f>
        <v>0</v>
      </c>
      <c r="G28" s="220">
        <f>Adatbevitel!E63</f>
        <v>9437392</v>
      </c>
    </row>
    <row r="29" spans="1:7" s="87" customFormat="1" ht="15" customHeight="1">
      <c r="A29" s="88" t="s">
        <v>362</v>
      </c>
      <c r="B29" s="518" t="s">
        <v>92</v>
      </c>
      <c r="C29" s="518"/>
      <c r="D29" s="518"/>
      <c r="E29" s="246">
        <f>Adatbevitel!C64</f>
        <v>338661</v>
      </c>
      <c r="F29" s="246">
        <f>Adatbevitel!D64</f>
        <v>0</v>
      </c>
      <c r="G29" s="247">
        <f>Adatbevitel!E64</f>
        <v>338661</v>
      </c>
    </row>
    <row r="30" spans="1:7" s="87" customFormat="1" ht="15" customHeight="1">
      <c r="A30" s="88" t="s">
        <v>363</v>
      </c>
      <c r="B30" s="518" t="s">
        <v>492</v>
      </c>
      <c r="C30" s="518"/>
      <c r="D30" s="518"/>
      <c r="E30" s="246">
        <f>Adatbevitel!C65</f>
        <v>0</v>
      </c>
      <c r="F30" s="246">
        <f>Adatbevitel!D65</f>
        <v>0</v>
      </c>
      <c r="G30" s="247">
        <f>Adatbevitel!E65</f>
        <v>0</v>
      </c>
    </row>
    <row r="31" spans="1:7" s="87" customFormat="1" ht="15" customHeight="1">
      <c r="A31" s="88" t="s">
        <v>364</v>
      </c>
      <c r="B31" s="518" t="s">
        <v>493</v>
      </c>
      <c r="C31" s="518"/>
      <c r="D31" s="518"/>
      <c r="E31" s="246">
        <f>Adatbevitel!C66</f>
        <v>0</v>
      </c>
      <c r="F31" s="246">
        <f>Adatbevitel!D66</f>
        <v>0</v>
      </c>
      <c r="G31" s="247">
        <f>Adatbevitel!E66</f>
        <v>0</v>
      </c>
    </row>
    <row r="32" spans="1:7" s="87" customFormat="1" ht="15" customHeight="1">
      <c r="A32" s="88" t="s">
        <v>365</v>
      </c>
      <c r="B32" s="518" t="s">
        <v>95</v>
      </c>
      <c r="C32" s="518"/>
      <c r="D32" s="518"/>
      <c r="E32" s="246">
        <f>Adatbevitel!C67</f>
        <v>0</v>
      </c>
      <c r="F32" s="246">
        <f>Adatbevitel!D67</f>
        <v>0</v>
      </c>
      <c r="G32" s="247">
        <f>Adatbevitel!E67</f>
        <v>0</v>
      </c>
    </row>
    <row r="33" spans="1:7" s="87" customFormat="1" ht="15" customHeight="1">
      <c r="A33" s="88" t="s">
        <v>366</v>
      </c>
      <c r="B33" s="518" t="s">
        <v>96</v>
      </c>
      <c r="C33" s="518"/>
      <c r="D33" s="518"/>
      <c r="E33" s="246">
        <f>Adatbevitel!C68</f>
        <v>6078693</v>
      </c>
      <c r="F33" s="246">
        <f>Adatbevitel!D68</f>
        <v>0</v>
      </c>
      <c r="G33" s="247">
        <f>Adatbevitel!E68</f>
        <v>7368564</v>
      </c>
    </row>
    <row r="34" spans="1:7" s="87" customFormat="1" ht="15" customHeight="1">
      <c r="A34" s="88" t="s">
        <v>367</v>
      </c>
      <c r="B34" s="518" t="s">
        <v>494</v>
      </c>
      <c r="C34" s="518"/>
      <c r="D34" s="518"/>
      <c r="E34" s="246">
        <f>Adatbevitel!C69</f>
        <v>36591</v>
      </c>
      <c r="F34" s="246">
        <f>Adatbevitel!D69</f>
        <v>0</v>
      </c>
      <c r="G34" s="247">
        <f>Adatbevitel!E69</f>
        <v>29226</v>
      </c>
    </row>
    <row r="35" spans="1:7" s="87" customFormat="1" ht="15" customHeight="1">
      <c r="A35" s="88" t="s">
        <v>460</v>
      </c>
      <c r="B35" s="518" t="s">
        <v>98</v>
      </c>
      <c r="C35" s="518"/>
      <c r="D35" s="518"/>
      <c r="E35" s="246">
        <f>Adatbevitel!C70</f>
        <v>0</v>
      </c>
      <c r="F35" s="246">
        <f>Adatbevitel!D70</f>
        <v>0</v>
      </c>
      <c r="G35" s="247">
        <f>Adatbevitel!E70</f>
        <v>0</v>
      </c>
    </row>
    <row r="36" spans="1:7" s="87" customFormat="1" ht="15" customHeight="1">
      <c r="A36" s="88" t="s">
        <v>461</v>
      </c>
      <c r="B36" s="518" t="s">
        <v>495</v>
      </c>
      <c r="C36" s="518"/>
      <c r="D36" s="518"/>
      <c r="E36" s="246">
        <f>Adatbevitel!C73</f>
        <v>2028506</v>
      </c>
      <c r="F36" s="246">
        <f>Adatbevitel!D73</f>
        <v>0</v>
      </c>
      <c r="G36" s="247">
        <f>Adatbevitel!E73</f>
        <v>1700941</v>
      </c>
    </row>
    <row r="37" spans="1:7" s="87" customFormat="1" ht="15" customHeight="1">
      <c r="A37" s="88" t="s">
        <v>462</v>
      </c>
      <c r="B37" s="519" t="s">
        <v>496</v>
      </c>
      <c r="C37" s="519"/>
      <c r="D37" s="519"/>
      <c r="E37" s="221">
        <f>Adatbevitel!C74</f>
        <v>760542</v>
      </c>
      <c r="F37" s="221">
        <f>Adatbevitel!D74</f>
        <v>0</v>
      </c>
      <c r="G37" s="222">
        <f>Adatbevitel!E74</f>
        <v>760542</v>
      </c>
    </row>
    <row r="38" spans="1:7" s="87" customFormat="1" ht="15" customHeight="1">
      <c r="A38" s="88" t="s">
        <v>368</v>
      </c>
      <c r="B38" s="516" t="s">
        <v>497</v>
      </c>
      <c r="C38" s="519"/>
      <c r="D38" s="519"/>
      <c r="E38" s="221">
        <f>Adatbevitel!C78</f>
        <v>26969909</v>
      </c>
      <c r="F38" s="221">
        <f>Adatbevitel!D78</f>
        <v>0</v>
      </c>
      <c r="G38" s="222">
        <f>Adatbevitel!E78</f>
        <v>29435065</v>
      </c>
    </row>
    <row r="39" spans="1:7" s="87" customFormat="1" ht="15" customHeight="1">
      <c r="A39" s="88" t="s">
        <v>369</v>
      </c>
      <c r="B39" s="518" t="s">
        <v>498</v>
      </c>
      <c r="C39" s="518"/>
      <c r="D39" s="518"/>
      <c r="E39" s="246">
        <f>Adatbevitel!C79</f>
        <v>0</v>
      </c>
      <c r="F39" s="246">
        <f>Adatbevitel!D79</f>
        <v>0</v>
      </c>
      <c r="G39" s="247">
        <f>Adatbevitel!E79</f>
        <v>0</v>
      </c>
    </row>
    <row r="40" spans="1:7" s="87" customFormat="1" ht="15" customHeight="1">
      <c r="A40" s="88" t="s">
        <v>370</v>
      </c>
      <c r="B40" s="518" t="s">
        <v>499</v>
      </c>
      <c r="C40" s="518"/>
      <c r="D40" s="518"/>
      <c r="E40" s="246">
        <f>Adatbevitel!C84</f>
        <v>7138632</v>
      </c>
      <c r="F40" s="246">
        <f>Adatbevitel!D84</f>
        <v>0</v>
      </c>
      <c r="G40" s="247">
        <f>Adatbevitel!E84</f>
        <v>7177807</v>
      </c>
    </row>
    <row r="41" spans="1:7" s="87" customFormat="1" ht="15" customHeight="1">
      <c r="A41" s="88" t="s">
        <v>371</v>
      </c>
      <c r="B41" s="518" t="s">
        <v>500</v>
      </c>
      <c r="C41" s="518"/>
      <c r="D41" s="518"/>
      <c r="E41" s="246">
        <f>Adatbevitel!C94</f>
        <v>19831277</v>
      </c>
      <c r="F41" s="246">
        <f>Adatbevitel!D94</f>
        <v>0</v>
      </c>
      <c r="G41" s="247">
        <f>Adatbevitel!E94</f>
        <v>22257258</v>
      </c>
    </row>
    <row r="42" spans="1:7" s="87" customFormat="1" ht="15" customHeight="1">
      <c r="A42" s="88" t="s">
        <v>372</v>
      </c>
      <c r="B42" s="519" t="s">
        <v>501</v>
      </c>
      <c r="C42" s="519"/>
      <c r="D42" s="519"/>
      <c r="E42" s="221">
        <f>Adatbevitel!C107</f>
        <v>1471825</v>
      </c>
      <c r="F42" s="221">
        <f>Adatbevitel!D107</f>
        <v>0</v>
      </c>
      <c r="G42" s="222">
        <f>Adatbevitel!E107</f>
        <v>1945527</v>
      </c>
    </row>
    <row r="43" spans="1:7" s="87" customFormat="1" ht="15" customHeight="1" thickBot="1">
      <c r="A43" s="89" t="s">
        <v>373</v>
      </c>
      <c r="B43" s="520" t="s">
        <v>502</v>
      </c>
      <c r="C43" s="521"/>
      <c r="D43" s="521"/>
      <c r="E43" s="223">
        <f>Adatbevitel!C111</f>
        <v>37684727</v>
      </c>
      <c r="F43" s="223">
        <f>Adatbevitel!D111</f>
        <v>0</v>
      </c>
      <c r="G43" s="224">
        <f>Adatbevitel!E111</f>
        <v>41578526</v>
      </c>
    </row>
    <row r="44" spans="1:7" ht="12.75" customHeight="1">
      <c r="A44" s="64"/>
      <c r="B44" s="64"/>
      <c r="C44" s="64"/>
      <c r="D44" s="64"/>
      <c r="E44" s="64"/>
      <c r="F44" s="64"/>
      <c r="G44" s="64"/>
    </row>
    <row r="45" spans="1:7" ht="12.75" customHeight="1">
      <c r="A45" s="64"/>
      <c r="B45" s="64"/>
      <c r="C45" s="64"/>
      <c r="D45" s="64"/>
      <c r="E45" s="64"/>
      <c r="F45" s="64"/>
      <c r="G45" s="64"/>
    </row>
    <row r="46" spans="1:7" ht="12.75" customHeight="1">
      <c r="A46" s="523" t="str">
        <f>Alapadatok!$E$12</f>
        <v>Veszprém, 2023. január 30</v>
      </c>
      <c r="B46" s="523"/>
      <c r="C46" s="64"/>
      <c r="D46" s="64"/>
      <c r="E46" s="64"/>
      <c r="F46" s="64"/>
      <c r="G46" s="64"/>
    </row>
    <row r="47" spans="1:7" ht="12.75" customHeight="1">
      <c r="A47" s="64"/>
      <c r="B47" s="64"/>
      <c r="C47" s="64"/>
      <c r="D47" s="64"/>
      <c r="E47" s="503" t="s">
        <v>476</v>
      </c>
      <c r="F47" s="503"/>
      <c r="G47" s="503"/>
    </row>
    <row r="48" spans="1:7" ht="12.75" customHeight="1">
      <c r="A48" s="64"/>
      <c r="B48" s="64"/>
      <c r="C48" s="64"/>
      <c r="D48" s="64"/>
      <c r="E48" s="505" t="s">
        <v>477</v>
      </c>
      <c r="F48" s="505"/>
      <c r="G48" s="505"/>
    </row>
  </sheetData>
  <sheetProtection selectLockedCells="1" selectUnlockedCells="1"/>
  <mergeCells count="43">
    <mergeCell ref="E48:G48"/>
    <mergeCell ref="B40:D40"/>
    <mergeCell ref="B41:D41"/>
    <mergeCell ref="B42:D42"/>
    <mergeCell ref="B43:D43"/>
    <mergeCell ref="A46:B46"/>
    <mergeCell ref="E47:G47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A26:B26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B1"/>
    <mergeCell ref="D1:G2"/>
    <mergeCell ref="A2:B2"/>
    <mergeCell ref="A4:B4"/>
    <mergeCell ref="F4:G4"/>
    <mergeCell ref="A6:G6"/>
    <mergeCell ref="A7:G7"/>
    <mergeCell ref="A8:G8"/>
    <mergeCell ref="A9:B9"/>
    <mergeCell ref="F10:G10"/>
    <mergeCell ref="B11:D11"/>
  </mergeCells>
  <hyperlinks>
    <hyperlink ref="I2" location="Beszámoló!A1" display="Vissza a beszámolóhoz" xr:uid="{00000000-0004-0000-0B00-000000000000}"/>
  </hyperlinks>
  <pageMargins left="0.74803149606299213" right="0.74803149606299213" top="0.98425196850393704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3">
    <tabColor rgb="FFA9D08E"/>
  </sheetPr>
  <dimension ref="A1:K31"/>
  <sheetViews>
    <sheetView workbookViewId="0">
      <selection sqref="A1:B1"/>
    </sheetView>
  </sheetViews>
  <sheetFormatPr defaultColWidth="8.88671875" defaultRowHeight="15"/>
  <cols>
    <col min="1" max="1" width="5.77734375" customWidth="1"/>
    <col min="2" max="2" width="28.77734375" customWidth="1"/>
    <col min="3" max="3" width="3.33203125" customWidth="1"/>
    <col min="4" max="7" width="8.33203125" customWidth="1"/>
  </cols>
  <sheetData>
    <row r="1" spans="1:11" ht="12.75" customHeight="1">
      <c r="A1" s="506" t="str">
        <f>CONCATENATE(" Statisztikai számjel: ",Alapadatok!$E$6)</f>
        <v xml:space="preserve"> Statisztikai számjel: 10233342-4754-113-19</v>
      </c>
      <c r="B1" s="506"/>
      <c r="C1" s="65"/>
      <c r="D1" s="507"/>
      <c r="E1" s="507"/>
      <c r="F1" s="507"/>
      <c r="G1" s="507"/>
      <c r="I1" s="51"/>
    </row>
    <row r="2" spans="1:11" ht="12.75" customHeight="1">
      <c r="A2" s="506" t="str">
        <f>CONCATENATE(" Cégjegyzék szám: ",Alapadatok!$E$7)</f>
        <v xml:space="preserve"> Cégjegyzék szám: 19-09-513341</v>
      </c>
      <c r="B2" s="506"/>
      <c r="C2" s="45"/>
      <c r="D2" s="507"/>
      <c r="E2" s="507"/>
      <c r="F2" s="507"/>
      <c r="G2" s="507"/>
      <c r="I2" s="208" t="s">
        <v>336</v>
      </c>
      <c r="J2" s="206"/>
      <c r="K2" s="206"/>
    </row>
    <row r="3" spans="1:11" ht="12.75" customHeight="1">
      <c r="A3" s="11"/>
    </row>
    <row r="4" spans="1:11" ht="12.75" customHeight="1">
      <c r="A4" s="506" t="str">
        <f>Alapadatok!$E$9</f>
        <v>VÖRÖSKŐ KFT.</v>
      </c>
      <c r="B4" s="506"/>
      <c r="C4" s="10"/>
      <c r="D4" s="10"/>
      <c r="F4" s="493"/>
      <c r="G4" s="493"/>
    </row>
    <row r="5" spans="1:11" ht="12.75" customHeight="1">
      <c r="A5" s="10"/>
      <c r="B5" s="10"/>
      <c r="C5" s="10"/>
      <c r="D5" s="10"/>
      <c r="G5" s="52"/>
    </row>
    <row r="6" spans="1:11" ht="15" customHeight="1">
      <c r="A6" s="490" t="s">
        <v>1</v>
      </c>
      <c r="B6" s="490"/>
      <c r="C6" s="490"/>
      <c r="D6" s="490"/>
      <c r="E6" s="490"/>
      <c r="F6" s="490"/>
      <c r="G6" s="490"/>
    </row>
    <row r="7" spans="1:11" ht="15" customHeight="1">
      <c r="A7" s="495" t="s">
        <v>503</v>
      </c>
      <c r="B7" s="495"/>
      <c r="C7" s="495"/>
      <c r="D7" s="495"/>
      <c r="E7" s="495"/>
      <c r="F7" s="495"/>
      <c r="G7" s="495"/>
    </row>
    <row r="8" spans="1:11" ht="15" customHeight="1">
      <c r="A8" s="524" t="s">
        <v>504</v>
      </c>
      <c r="B8" s="524"/>
      <c r="C8" s="524"/>
      <c r="D8" s="524"/>
      <c r="E8" s="524"/>
      <c r="F8" s="524"/>
      <c r="G8" s="524"/>
    </row>
    <row r="9" spans="1:11" ht="12.75" customHeight="1">
      <c r="A9" s="506"/>
      <c r="B9" s="506"/>
      <c r="C9" s="27"/>
      <c r="D9" s="27"/>
      <c r="E9" s="27"/>
      <c r="F9" s="27"/>
      <c r="G9" s="27"/>
    </row>
    <row r="10" spans="1:11" ht="12.75" customHeight="1" thickBot="1">
      <c r="A10" s="53"/>
      <c r="B10" s="54"/>
      <c r="C10" s="53"/>
      <c r="D10" s="53"/>
      <c r="E10" s="53"/>
      <c r="F10" s="498" t="str">
        <f>IF(Beszámoló!$F$2=1,Nyelv_old!$E$16,IF(Beszámoló!$F$2=2,Nyelv_old!$F$16,IF(Beszámoló!$F$2=3,Nyelv_old!$G$16,Nyelv_old!$H$16)))</f>
        <v>adatok E Ft-ban</v>
      </c>
      <c r="G10" s="498"/>
    </row>
    <row r="11" spans="1:11" s="11" customFormat="1" ht="36.75" customHeight="1">
      <c r="A11" s="55" t="str">
        <f>IF(Beszámoló!$F$2=1,Nyelv_old!$E$17,IF(Beszámoló!$F$2=2,Nyelv_old!$F$17,IF(Beszámoló!$F$2=3,Nyelv_old!$G$17,Nyelv_old!$H$17)))</f>
        <v>Sorszám</v>
      </c>
      <c r="B11" s="499" t="str">
        <f>IF(Beszámoló!$F$2=1,Nyelv_old!$E$18,IF(Beszámoló!$F$2=2,Nyelv_old!$F$18,IF(Beszámoló!$F$2=3,Nyelv_old!$G$18,Nyelv_old!$H$18)))</f>
        <v>A tétel megnevezése</v>
      </c>
      <c r="C11" s="499"/>
      <c r="D11" s="499"/>
      <c r="E11" s="56" t="str">
        <f>IF(Beszámoló!$F$2=1,Nyelv_old!$E$19,IF(Beszámoló!$F$2=2,Nyelv_old!$F$19,IF(Beszámoló!$F$2=3,Nyelv_old!$G$19,Nyelv_old!$H$19)))</f>
        <v>Előző év</v>
      </c>
      <c r="F11" s="57" t="str">
        <f>IF(Beszámoló!$F$2=1,Nyelv_old!$E$20,IF(Beszámoló!$F$2=2,Nyelv_old!$F$20,IF(Beszámoló!$F$2=3,Nyelv_old!$G$20,Nyelv_old!$H$20)))</f>
        <v>Előző év(ek) módosításai</v>
      </c>
      <c r="G11" s="58" t="str">
        <f>IF(Beszámoló!$F$2=1,Nyelv_old!$E$21,IF(Beszámoló!$F$2=2,Nyelv_old!$F$21,IF(Beszámoló!$F$2=3,Nyelv_old!$G$21,Nyelv_old!$H$21)))</f>
        <v>Tárgyév</v>
      </c>
    </row>
    <row r="12" spans="1:11" s="11" customFormat="1" ht="12" customHeight="1" thickBot="1">
      <c r="A12" s="59" t="s">
        <v>345</v>
      </c>
      <c r="B12" s="500" t="s">
        <v>346</v>
      </c>
      <c r="C12" s="500"/>
      <c r="D12" s="500"/>
      <c r="E12" s="61" t="s">
        <v>347</v>
      </c>
      <c r="F12" s="60" t="s">
        <v>348</v>
      </c>
      <c r="G12" s="62" t="s">
        <v>349</v>
      </c>
    </row>
    <row r="13" spans="1:11" ht="20.100000000000001" customHeight="1">
      <c r="A13" s="90" t="s">
        <v>467</v>
      </c>
      <c r="B13" s="526" t="s">
        <v>505</v>
      </c>
      <c r="C13" s="526"/>
      <c r="D13" s="526"/>
      <c r="E13" s="248">
        <f>Adatbevitel!C117</f>
        <v>88680583</v>
      </c>
      <c r="F13" s="248">
        <f>Adatbevitel!D117</f>
        <v>0</v>
      </c>
      <c r="G13" s="249">
        <f>Adatbevitel!E117</f>
        <v>54494502</v>
      </c>
      <c r="H13" s="69"/>
    </row>
    <row r="14" spans="1:11" ht="20.100000000000001" customHeight="1">
      <c r="A14" s="91" t="s">
        <v>468</v>
      </c>
      <c r="B14" s="527" t="s">
        <v>506</v>
      </c>
      <c r="C14" s="527"/>
      <c r="D14" s="527"/>
      <c r="E14" s="250">
        <f>Adatbevitel!C120</f>
        <v>0</v>
      </c>
      <c r="F14" s="250">
        <f>Adatbevitel!D120</f>
        <v>0</v>
      </c>
      <c r="G14" s="251">
        <f>Adatbevitel!E120</f>
        <v>0</v>
      </c>
      <c r="H14" s="69"/>
    </row>
    <row r="15" spans="1:11" ht="20.100000000000001" customHeight="1">
      <c r="A15" s="91" t="s">
        <v>469</v>
      </c>
      <c r="B15" s="527" t="s">
        <v>507</v>
      </c>
      <c r="C15" s="527"/>
      <c r="D15" s="527"/>
      <c r="E15" s="250">
        <f>Adatbevitel!C121</f>
        <v>12254376</v>
      </c>
      <c r="F15" s="250">
        <f>Adatbevitel!D121</f>
        <v>0</v>
      </c>
      <c r="G15" s="251">
        <f>Adatbevitel!E121</f>
        <v>7001352</v>
      </c>
      <c r="H15" s="69"/>
    </row>
    <row r="16" spans="1:11" ht="20.100000000000001" customHeight="1">
      <c r="A16" s="91" t="s">
        <v>470</v>
      </c>
      <c r="B16" s="527" t="s">
        <v>508</v>
      </c>
      <c r="C16" s="527"/>
      <c r="D16" s="527"/>
      <c r="E16" s="250">
        <f>Adatbevitel!C128</f>
        <v>89169677</v>
      </c>
      <c r="F16" s="250">
        <f>Adatbevitel!D128</f>
        <v>0</v>
      </c>
      <c r="G16" s="251">
        <f>Adatbevitel!E128</f>
        <v>55017559</v>
      </c>
      <c r="H16" s="69"/>
    </row>
    <row r="17" spans="1:8" ht="20.100000000000001" customHeight="1">
      <c r="A17" s="91" t="s">
        <v>509</v>
      </c>
      <c r="B17" s="527" t="s">
        <v>510</v>
      </c>
      <c r="C17" s="527"/>
      <c r="D17" s="527"/>
      <c r="E17" s="250">
        <f>Adatbevitel!C132</f>
        <v>6476501</v>
      </c>
      <c r="F17" s="250">
        <f>Adatbevitel!D132</f>
        <v>0</v>
      </c>
      <c r="G17" s="251">
        <f>Adatbevitel!E132</f>
        <v>3292649</v>
      </c>
      <c r="H17" s="69"/>
    </row>
    <row r="18" spans="1:8" ht="20.100000000000001" customHeight="1">
      <c r="A18" s="91" t="s">
        <v>511</v>
      </c>
      <c r="B18" s="527" t="s">
        <v>512</v>
      </c>
      <c r="C18" s="527"/>
      <c r="D18" s="527"/>
      <c r="E18" s="250">
        <f>Adatbevitel!C133</f>
        <v>1045248</v>
      </c>
      <c r="F18" s="250">
        <f>Adatbevitel!D133</f>
        <v>0</v>
      </c>
      <c r="G18" s="251">
        <f>Adatbevitel!E133</f>
        <v>648901</v>
      </c>
      <c r="H18" s="69"/>
    </row>
    <row r="19" spans="1:8" ht="20.100000000000001" customHeight="1">
      <c r="A19" s="91" t="s">
        <v>513</v>
      </c>
      <c r="B19" s="527" t="s">
        <v>514</v>
      </c>
      <c r="C19" s="527"/>
      <c r="D19" s="527"/>
      <c r="E19" s="250">
        <f>Adatbevitel!C134</f>
        <v>2192994</v>
      </c>
      <c r="F19" s="250">
        <f>Adatbevitel!D134</f>
        <v>0</v>
      </c>
      <c r="G19" s="251">
        <f>Adatbevitel!E134</f>
        <v>818629</v>
      </c>
      <c r="H19" s="69"/>
    </row>
    <row r="20" spans="1:8" ht="20.100000000000001" customHeight="1">
      <c r="A20" s="92" t="s">
        <v>515</v>
      </c>
      <c r="B20" s="516" t="s">
        <v>516</v>
      </c>
      <c r="C20" s="528"/>
      <c r="D20" s="528"/>
      <c r="E20" s="215">
        <f>Adatbevitel!C136</f>
        <v>2050539</v>
      </c>
      <c r="F20" s="215">
        <f>Adatbevitel!D136</f>
        <v>0</v>
      </c>
      <c r="G20" s="216">
        <f>Adatbevitel!E136</f>
        <v>1718116</v>
      </c>
      <c r="H20" s="69"/>
    </row>
    <row r="21" spans="1:8" ht="20.100000000000001" customHeight="1">
      <c r="A21" s="91" t="s">
        <v>517</v>
      </c>
      <c r="B21" s="527" t="s">
        <v>518</v>
      </c>
      <c r="C21" s="527"/>
      <c r="D21" s="527"/>
      <c r="E21" s="250">
        <f>Adatbevitel!C147</f>
        <v>353634</v>
      </c>
      <c r="F21" s="250">
        <f>Adatbevitel!D147</f>
        <v>0</v>
      </c>
      <c r="G21" s="251">
        <f>Adatbevitel!E147</f>
        <v>264537</v>
      </c>
      <c r="H21" s="69"/>
    </row>
    <row r="22" spans="1:8" ht="20.100000000000001" customHeight="1">
      <c r="A22" s="91" t="s">
        <v>519</v>
      </c>
      <c r="B22" s="527" t="s">
        <v>520</v>
      </c>
      <c r="C22" s="527"/>
      <c r="D22" s="527"/>
      <c r="E22" s="250">
        <f>Adatbevitel!C157</f>
        <v>230044</v>
      </c>
      <c r="F22" s="250">
        <f>Adatbevitel!D157</f>
        <v>0</v>
      </c>
      <c r="G22" s="251">
        <f>Adatbevitel!E157</f>
        <v>205906</v>
      </c>
      <c r="H22" s="69"/>
    </row>
    <row r="23" spans="1:8" ht="20.100000000000001" customHeight="1">
      <c r="A23" s="92" t="s">
        <v>521</v>
      </c>
      <c r="B23" s="516" t="s">
        <v>522</v>
      </c>
      <c r="C23" s="525"/>
      <c r="D23" s="525"/>
      <c r="E23" s="215">
        <f>Adatbevitel!C158</f>
        <v>123590</v>
      </c>
      <c r="F23" s="215">
        <f>Adatbevitel!D158</f>
        <v>0</v>
      </c>
      <c r="G23" s="216">
        <f>Adatbevitel!E158</f>
        <v>58631</v>
      </c>
      <c r="H23" s="69"/>
    </row>
    <row r="24" spans="1:8" ht="20.100000000000001" customHeight="1">
      <c r="A24" s="92" t="s">
        <v>523</v>
      </c>
      <c r="B24" s="516" t="s">
        <v>524</v>
      </c>
      <c r="C24" s="525"/>
      <c r="D24" s="525"/>
      <c r="E24" s="215">
        <f>Adatbevitel!C159</f>
        <v>2174129</v>
      </c>
      <c r="F24" s="215">
        <f>Adatbevitel!D159</f>
        <v>0</v>
      </c>
      <c r="G24" s="216">
        <f>Adatbevitel!E159</f>
        <v>1776747</v>
      </c>
      <c r="H24" s="69"/>
    </row>
    <row r="25" spans="1:8" ht="20.100000000000001" customHeight="1">
      <c r="A25" s="91" t="s">
        <v>525</v>
      </c>
      <c r="B25" s="527" t="s">
        <v>526</v>
      </c>
      <c r="C25" s="527"/>
      <c r="D25" s="527"/>
      <c r="E25" s="250">
        <f>Adatbevitel!C160</f>
        <v>145623</v>
      </c>
      <c r="F25" s="250">
        <f>Adatbevitel!D160</f>
        <v>0</v>
      </c>
      <c r="G25" s="251">
        <f>Adatbevitel!E160</f>
        <v>75806</v>
      </c>
      <c r="H25" s="69"/>
    </row>
    <row r="26" spans="1:8" ht="20.100000000000001" customHeight="1" thickBot="1">
      <c r="A26" s="93" t="s">
        <v>527</v>
      </c>
      <c r="B26" s="520" t="s">
        <v>528</v>
      </c>
      <c r="C26" s="529"/>
      <c r="D26" s="529"/>
      <c r="E26" s="217">
        <f>Adatbevitel!C161</f>
        <v>2028506</v>
      </c>
      <c r="F26" s="217">
        <f>Adatbevitel!D161</f>
        <v>0</v>
      </c>
      <c r="G26" s="218">
        <f>Adatbevitel!E161</f>
        <v>1700941</v>
      </c>
      <c r="H26" s="69"/>
    </row>
    <row r="27" spans="1:8" ht="12.75" customHeight="1">
      <c r="A27" s="64"/>
      <c r="B27" s="64"/>
      <c r="C27" s="64"/>
      <c r="D27" s="64"/>
      <c r="E27" s="64"/>
      <c r="F27" s="64"/>
      <c r="G27" s="64"/>
    </row>
    <row r="28" spans="1:8" ht="12.75" customHeight="1">
      <c r="A28" s="64"/>
      <c r="B28" s="64"/>
      <c r="C28" s="64"/>
      <c r="D28" s="64"/>
      <c r="E28" s="64"/>
      <c r="F28" s="64"/>
      <c r="G28" s="64"/>
    </row>
    <row r="29" spans="1:8" ht="12.75" customHeight="1">
      <c r="A29" s="523" t="str">
        <f>Alapadatok!$E$12</f>
        <v>Veszprém, 2023. január 30</v>
      </c>
      <c r="B29" s="523"/>
      <c r="C29" s="64"/>
      <c r="D29" s="64"/>
      <c r="E29" s="64"/>
      <c r="F29" s="64"/>
      <c r="G29" s="64"/>
    </row>
    <row r="30" spans="1:8" ht="12.75" customHeight="1">
      <c r="A30" s="64"/>
      <c r="B30" s="64"/>
      <c r="C30" s="64"/>
      <c r="D30" s="64"/>
      <c r="E30" s="503" t="s">
        <v>476</v>
      </c>
      <c r="F30" s="503"/>
      <c r="G30" s="503"/>
    </row>
    <row r="31" spans="1:8" ht="12.75" customHeight="1">
      <c r="A31" s="64"/>
      <c r="B31" s="64"/>
      <c r="C31" s="64"/>
      <c r="D31" s="64"/>
      <c r="E31" s="505" t="s">
        <v>477</v>
      </c>
      <c r="F31" s="505"/>
      <c r="G31" s="505"/>
    </row>
  </sheetData>
  <sheetProtection selectLockedCells="1" selectUnlockedCells="1"/>
  <mergeCells count="29">
    <mergeCell ref="B25:D25"/>
    <mergeCell ref="B26:D26"/>
    <mergeCell ref="A29:B29"/>
    <mergeCell ref="E30:G30"/>
    <mergeCell ref="E31:G3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B1"/>
    <mergeCell ref="D1:G2"/>
    <mergeCell ref="A2:B2"/>
    <mergeCell ref="A4:B4"/>
    <mergeCell ref="F4:G4"/>
    <mergeCell ref="A6:G6"/>
    <mergeCell ref="A7:G7"/>
    <mergeCell ref="A8:G8"/>
    <mergeCell ref="A9:B9"/>
    <mergeCell ref="F10:G10"/>
    <mergeCell ref="B11:D11"/>
  </mergeCells>
  <hyperlinks>
    <hyperlink ref="I2" location="Beszámoló!A1" display="Vissza a beszámolóhoz" xr:uid="{00000000-0004-0000-0C00-000000000000}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4">
    <tabColor rgb="FFA9D08E"/>
  </sheetPr>
  <dimension ref="A1:K30"/>
  <sheetViews>
    <sheetView workbookViewId="0">
      <selection sqref="A1:B1"/>
    </sheetView>
  </sheetViews>
  <sheetFormatPr defaultColWidth="8.88671875" defaultRowHeight="15"/>
  <cols>
    <col min="1" max="1" width="5.77734375" customWidth="1"/>
    <col min="2" max="2" width="28.77734375" customWidth="1"/>
    <col min="3" max="3" width="3.33203125" customWidth="1"/>
    <col min="4" max="7" width="8.33203125" customWidth="1"/>
  </cols>
  <sheetData>
    <row r="1" spans="1:11" ht="12.75" customHeight="1">
      <c r="A1" s="506" t="str">
        <f>CONCATENATE(" Statisztikai számjel: ",Alapadatok!$E$6)</f>
        <v xml:space="preserve"> Statisztikai számjel: 10233342-4754-113-19</v>
      </c>
      <c r="B1" s="506"/>
      <c r="C1" s="65"/>
      <c r="D1" s="507"/>
      <c r="E1" s="507"/>
      <c r="F1" s="507"/>
      <c r="G1" s="507"/>
      <c r="I1" s="51"/>
    </row>
    <row r="2" spans="1:11" ht="12.75" customHeight="1">
      <c r="A2" s="506" t="str">
        <f>CONCATENATE(" Cégjegyzék szám: ",Alapadatok!$E$7)</f>
        <v xml:space="preserve"> Cégjegyzék szám: 19-09-513341</v>
      </c>
      <c r="B2" s="506"/>
      <c r="C2" s="45"/>
      <c r="D2" s="507"/>
      <c r="E2" s="507"/>
      <c r="F2" s="507"/>
      <c r="G2" s="507"/>
      <c r="I2" s="208" t="s">
        <v>336</v>
      </c>
      <c r="J2" s="206"/>
      <c r="K2" s="206"/>
    </row>
    <row r="3" spans="1:11" ht="12.75" customHeight="1">
      <c r="A3" s="11"/>
      <c r="I3" s="206"/>
      <c r="J3" s="206"/>
      <c r="K3" s="206"/>
    </row>
    <row r="4" spans="1:11" ht="12.75" customHeight="1">
      <c r="A4" s="506" t="str">
        <f>Alapadatok!$E$9</f>
        <v>VÖRÖSKŐ KFT.</v>
      </c>
      <c r="B4" s="506"/>
      <c r="C4" s="10"/>
      <c r="D4" s="10"/>
      <c r="F4" s="493"/>
      <c r="G4" s="493"/>
    </row>
    <row r="5" spans="1:11" ht="12.75" customHeight="1">
      <c r="A5" s="10"/>
      <c r="B5" s="10"/>
      <c r="C5" s="10"/>
      <c r="D5" s="10"/>
      <c r="G5" s="52"/>
    </row>
    <row r="6" spans="1:11" ht="15" customHeight="1">
      <c r="A6" s="490" t="s">
        <v>1</v>
      </c>
      <c r="B6" s="490"/>
      <c r="C6" s="490"/>
      <c r="D6" s="490"/>
      <c r="E6" s="490"/>
      <c r="F6" s="490"/>
      <c r="G6" s="490"/>
      <c r="H6" s="76"/>
    </row>
    <row r="7" spans="1:11" ht="15" customHeight="1">
      <c r="A7" s="495" t="s">
        <v>529</v>
      </c>
      <c r="B7" s="495"/>
      <c r="C7" s="495"/>
      <c r="D7" s="495"/>
      <c r="E7" s="495"/>
      <c r="F7" s="495"/>
      <c r="G7" s="495"/>
    </row>
    <row r="8" spans="1:11" ht="15" customHeight="1">
      <c r="A8" s="524" t="s">
        <v>530</v>
      </c>
      <c r="B8" s="524"/>
      <c r="C8" s="524"/>
      <c r="D8" s="524"/>
      <c r="E8" s="524"/>
      <c r="F8" s="524"/>
      <c r="G8" s="524"/>
    </row>
    <row r="9" spans="1:11" ht="12.75" customHeight="1">
      <c r="A9" s="506"/>
      <c r="B9" s="506"/>
      <c r="C9" s="27"/>
      <c r="D9" s="27"/>
      <c r="E9" s="27"/>
      <c r="F9" s="27"/>
      <c r="G9" s="27"/>
    </row>
    <row r="10" spans="1:11" ht="12.75" customHeight="1" thickBot="1">
      <c r="A10" s="53"/>
      <c r="B10" s="54"/>
      <c r="C10" s="53"/>
      <c r="D10" s="53"/>
      <c r="E10" s="53"/>
      <c r="F10" s="498" t="str">
        <f>IF(Beszámoló!$F$2=1,Nyelv_old!$E$16,IF(Beszámoló!$F$2=2,Nyelv_old!$F$16,IF(Beszámoló!$F$2=3,Nyelv_old!$G$16,Nyelv_old!$H$16)))</f>
        <v>adatok E Ft-ban</v>
      </c>
      <c r="G10" s="498"/>
    </row>
    <row r="11" spans="1:11" s="11" customFormat="1" ht="36.75" customHeight="1">
      <c r="A11" s="55" t="str">
        <f>IF(Beszámoló!$F$2=1,Nyelv_old!$E$17,IF(Beszámoló!$F$2=2,Nyelv_old!$F$17,IF(Beszámoló!$F$2=3,Nyelv_old!$G$17,Nyelv_old!$H$17)))</f>
        <v>Sorszám</v>
      </c>
      <c r="B11" s="499" t="str">
        <f>IF(Beszámoló!$F$2=1,Nyelv_old!$E$18,IF(Beszámoló!$F$2=2,Nyelv_old!$F$18,IF(Beszámoló!$F$2=3,Nyelv_old!$G$18,Nyelv_old!$H$18)))</f>
        <v>A tétel megnevezése</v>
      </c>
      <c r="C11" s="499"/>
      <c r="D11" s="499"/>
      <c r="E11" s="56" t="str">
        <f>IF(Beszámoló!$F$2=1,Nyelv_old!$E$19,IF(Beszámoló!$F$2=2,Nyelv_old!$F$19,IF(Beszámoló!$F$2=3,Nyelv_old!$G$19,Nyelv_old!$H$19)))</f>
        <v>Előző év</v>
      </c>
      <c r="F11" s="57" t="str">
        <f>IF(Beszámoló!$F$2=1,Nyelv_old!$E$20,IF(Beszámoló!$F$2=2,Nyelv_old!$F$20,IF(Beszámoló!$F$2=3,Nyelv_old!$G$20,Nyelv_old!$H$20)))</f>
        <v>Előző év(ek) módosításai</v>
      </c>
      <c r="G11" s="58" t="str">
        <f>IF(Beszámoló!$F$2=1,Nyelv_old!$E$21,IF(Beszámoló!$F$2=2,Nyelv_old!$F$21,IF(Beszámoló!$F$2=3,Nyelv_old!$G$21,Nyelv_old!$H$21)))</f>
        <v>Tárgyév</v>
      </c>
    </row>
    <row r="12" spans="1:11" s="11" customFormat="1" ht="12" customHeight="1" thickBot="1">
      <c r="A12" s="59" t="s">
        <v>345</v>
      </c>
      <c r="B12" s="500" t="s">
        <v>346</v>
      </c>
      <c r="C12" s="500"/>
      <c r="D12" s="500"/>
      <c r="E12" s="61" t="s">
        <v>347</v>
      </c>
      <c r="F12" s="60" t="s">
        <v>348</v>
      </c>
      <c r="G12" s="62" t="s">
        <v>349</v>
      </c>
    </row>
    <row r="13" spans="1:11" s="69" customFormat="1" ht="20.100000000000001" customHeight="1">
      <c r="A13" s="94" t="s">
        <v>467</v>
      </c>
      <c r="B13" s="526" t="s">
        <v>505</v>
      </c>
      <c r="C13" s="526"/>
      <c r="D13" s="526"/>
      <c r="E13" s="252">
        <f>Adatbevitel!C167</f>
        <v>88680583</v>
      </c>
      <c r="F13" s="252">
        <f>Adatbevitel!D167</f>
        <v>0</v>
      </c>
      <c r="G13" s="253">
        <f>Adatbevitel!E167</f>
        <v>54494502</v>
      </c>
    </row>
    <row r="14" spans="1:11" s="69" customFormat="1" ht="20.100000000000001" customHeight="1">
      <c r="A14" s="95" t="s">
        <v>468</v>
      </c>
      <c r="B14" s="527" t="s">
        <v>531</v>
      </c>
      <c r="C14" s="527"/>
      <c r="D14" s="527"/>
      <c r="E14" s="250">
        <f>Adatbevitel!C171</f>
        <v>81479271</v>
      </c>
      <c r="F14" s="250">
        <f>Adatbevitel!D171</f>
        <v>0</v>
      </c>
      <c r="G14" s="251">
        <f>Adatbevitel!E171</f>
        <v>50034376</v>
      </c>
    </row>
    <row r="15" spans="1:11" s="69" customFormat="1" ht="20.100000000000001" customHeight="1">
      <c r="A15" s="95" t="s">
        <v>469</v>
      </c>
      <c r="B15" s="527" t="s">
        <v>532</v>
      </c>
      <c r="C15" s="527"/>
      <c r="D15" s="527"/>
      <c r="E15" s="250">
        <f>Adatbevitel!C172</f>
        <v>7201312</v>
      </c>
      <c r="F15" s="250">
        <f>Adatbevitel!D172</f>
        <v>0</v>
      </c>
      <c r="G15" s="251">
        <f>Adatbevitel!E172</f>
        <v>4460126</v>
      </c>
    </row>
    <row r="16" spans="1:11" s="69" customFormat="1" ht="20.100000000000001" customHeight="1">
      <c r="A16" s="95" t="s">
        <v>470</v>
      </c>
      <c r="B16" s="527" t="s">
        <v>533</v>
      </c>
      <c r="C16" s="527"/>
      <c r="D16" s="527"/>
      <c r="E16" s="250">
        <f>Adatbevitel!C176</f>
        <v>10070851</v>
      </c>
      <c r="F16" s="250">
        <f>Adatbevitel!D176</f>
        <v>0</v>
      </c>
      <c r="G16" s="251">
        <f>Adatbevitel!E176</f>
        <v>10070851</v>
      </c>
    </row>
    <row r="17" spans="1:8" s="69" customFormat="1" ht="20.100000000000001" customHeight="1">
      <c r="A17" s="95" t="s">
        <v>509</v>
      </c>
      <c r="B17" s="530" t="s">
        <v>507</v>
      </c>
      <c r="C17" s="530"/>
      <c r="D17" s="530"/>
      <c r="E17" s="250">
        <f>Adatbevitel!C177</f>
        <v>12254376</v>
      </c>
      <c r="F17" s="250">
        <f>Adatbevitel!D177</f>
        <v>0</v>
      </c>
      <c r="G17" s="251">
        <f>Adatbevitel!E177</f>
        <v>7001352</v>
      </c>
    </row>
    <row r="18" spans="1:8" s="69" customFormat="1" ht="20.100000000000001" customHeight="1">
      <c r="A18" s="95" t="s">
        <v>511</v>
      </c>
      <c r="B18" s="527" t="s">
        <v>514</v>
      </c>
      <c r="C18" s="527"/>
      <c r="D18" s="527"/>
      <c r="E18" s="250">
        <f>Adatbevitel!C179</f>
        <v>2192994</v>
      </c>
      <c r="F18" s="250">
        <f>Adatbevitel!D179</f>
        <v>0</v>
      </c>
      <c r="G18" s="251">
        <f>Adatbevitel!E179</f>
        <v>818629</v>
      </c>
    </row>
    <row r="19" spans="1:8" s="69" customFormat="1" ht="20.100000000000001" customHeight="1">
      <c r="A19" s="92" t="s">
        <v>515</v>
      </c>
      <c r="B19" s="516" t="s">
        <v>534</v>
      </c>
      <c r="C19" s="525"/>
      <c r="D19" s="525"/>
      <c r="E19" s="211">
        <f>Adatbevitel!C181</f>
        <v>7191843</v>
      </c>
      <c r="F19" s="211">
        <f>Adatbevitel!D181</f>
        <v>0</v>
      </c>
      <c r="G19" s="212">
        <f>Adatbevitel!E181</f>
        <v>571998</v>
      </c>
    </row>
    <row r="20" spans="1:8" s="69" customFormat="1" ht="20.100000000000001" customHeight="1">
      <c r="A20" s="95" t="s">
        <v>513</v>
      </c>
      <c r="B20" s="527" t="s">
        <v>518</v>
      </c>
      <c r="C20" s="527"/>
      <c r="D20" s="527"/>
      <c r="E20" s="250">
        <f>Adatbevitel!C192</f>
        <v>353634</v>
      </c>
      <c r="F20" s="250">
        <f>Adatbevitel!D192</f>
        <v>0</v>
      </c>
      <c r="G20" s="251">
        <f>Adatbevitel!E192</f>
        <v>264537</v>
      </c>
    </row>
    <row r="21" spans="1:8" s="69" customFormat="1" ht="20.100000000000001" customHeight="1">
      <c r="A21" s="95" t="s">
        <v>517</v>
      </c>
      <c r="B21" s="527" t="s">
        <v>520</v>
      </c>
      <c r="C21" s="527"/>
      <c r="D21" s="527"/>
      <c r="E21" s="250">
        <f>Adatbevitel!C202</f>
        <v>230044</v>
      </c>
      <c r="F21" s="250">
        <f>Adatbevitel!D202</f>
        <v>0</v>
      </c>
      <c r="G21" s="251">
        <f>Adatbevitel!E202</f>
        <v>205906</v>
      </c>
    </row>
    <row r="22" spans="1:8" s="69" customFormat="1" ht="20.100000000000001" customHeight="1">
      <c r="A22" s="92" t="s">
        <v>521</v>
      </c>
      <c r="B22" s="516" t="s">
        <v>535</v>
      </c>
      <c r="C22" s="525"/>
      <c r="D22" s="525"/>
      <c r="E22" s="211">
        <f>Adatbevitel!C203</f>
        <v>123590</v>
      </c>
      <c r="F22" s="211">
        <f>Adatbevitel!D203</f>
        <v>0</v>
      </c>
      <c r="G22" s="212">
        <f>Adatbevitel!E203</f>
        <v>58631</v>
      </c>
    </row>
    <row r="23" spans="1:8" s="69" customFormat="1" ht="20.100000000000001" customHeight="1">
      <c r="A23" s="92" t="s">
        <v>523</v>
      </c>
      <c r="B23" s="516" t="s">
        <v>536</v>
      </c>
      <c r="C23" s="525"/>
      <c r="D23" s="525"/>
      <c r="E23" s="211">
        <f>Adatbevitel!C204</f>
        <v>7315433</v>
      </c>
      <c r="F23" s="211">
        <f>Adatbevitel!D204</f>
        <v>0</v>
      </c>
      <c r="G23" s="212">
        <f>Adatbevitel!E204</f>
        <v>630629</v>
      </c>
    </row>
    <row r="24" spans="1:8" s="69" customFormat="1" ht="20.100000000000001" customHeight="1">
      <c r="A24" s="95" t="s">
        <v>519</v>
      </c>
      <c r="B24" s="527" t="s">
        <v>526</v>
      </c>
      <c r="C24" s="527"/>
      <c r="D24" s="527"/>
      <c r="E24" s="250">
        <f>Adatbevitel!C205</f>
        <v>145623</v>
      </c>
      <c r="F24" s="250">
        <f>Adatbevitel!D205</f>
        <v>0</v>
      </c>
      <c r="G24" s="251">
        <f>Adatbevitel!E205</f>
        <v>75806</v>
      </c>
    </row>
    <row r="25" spans="1:8" s="69" customFormat="1" ht="20.100000000000001" customHeight="1" thickBot="1">
      <c r="A25" s="93" t="s">
        <v>527</v>
      </c>
      <c r="B25" s="520" t="s">
        <v>537</v>
      </c>
      <c r="C25" s="529"/>
      <c r="D25" s="529"/>
      <c r="E25" s="213">
        <f>Adatbevitel!C206</f>
        <v>7169810</v>
      </c>
      <c r="F25" s="213">
        <f>Adatbevitel!D206</f>
        <v>0</v>
      </c>
      <c r="G25" s="214">
        <f>Adatbevitel!E206</f>
        <v>554823</v>
      </c>
    </row>
    <row r="26" spans="1:8">
      <c r="A26" s="64"/>
      <c r="B26" s="64"/>
      <c r="C26" s="64"/>
      <c r="D26" s="64"/>
      <c r="E26" s="64"/>
      <c r="F26" s="64"/>
      <c r="G26" s="64"/>
      <c r="H26" s="2"/>
    </row>
    <row r="27" spans="1:8" ht="15.75">
      <c r="A27" s="96"/>
      <c r="B27" s="96"/>
      <c r="C27" s="96"/>
      <c r="D27" s="64"/>
      <c r="E27" s="64"/>
      <c r="F27" s="64"/>
      <c r="G27" s="64"/>
      <c r="H27" s="2"/>
    </row>
    <row r="28" spans="1:8">
      <c r="A28" s="523" t="str">
        <f>Alapadatok!$E$12</f>
        <v>Veszprém, 2023. január 30</v>
      </c>
      <c r="B28" s="523"/>
      <c r="C28" s="64"/>
      <c r="D28" s="64"/>
      <c r="E28" s="64"/>
      <c r="F28" s="64"/>
      <c r="G28" s="64"/>
      <c r="H28" s="2"/>
    </row>
    <row r="29" spans="1:8">
      <c r="A29" s="64"/>
      <c r="B29" s="64"/>
      <c r="C29" s="64"/>
      <c r="D29" s="64"/>
      <c r="E29" s="503" t="s">
        <v>476</v>
      </c>
      <c r="F29" s="503"/>
      <c r="G29" s="503"/>
      <c r="H29" s="2"/>
    </row>
    <row r="30" spans="1:8">
      <c r="A30" s="64"/>
      <c r="B30" s="64"/>
      <c r="C30" s="64"/>
      <c r="D30" s="64"/>
      <c r="E30" s="505" t="s">
        <v>477</v>
      </c>
      <c r="F30" s="505"/>
      <c r="G30" s="505"/>
      <c r="H30" s="2"/>
    </row>
  </sheetData>
  <sheetProtection selectLockedCells="1" selectUnlockedCells="1"/>
  <mergeCells count="28">
    <mergeCell ref="B25:D25"/>
    <mergeCell ref="A28:B28"/>
    <mergeCell ref="E29:G29"/>
    <mergeCell ref="E30:G30"/>
    <mergeCell ref="B19:D19"/>
    <mergeCell ref="B20:D20"/>
    <mergeCell ref="B21:D21"/>
    <mergeCell ref="B22:D22"/>
    <mergeCell ref="B23:D23"/>
    <mergeCell ref="B24:D24"/>
    <mergeCell ref="B18:D18"/>
    <mergeCell ref="A7:G7"/>
    <mergeCell ref="A8:G8"/>
    <mergeCell ref="A9:B9"/>
    <mergeCell ref="F10:G10"/>
    <mergeCell ref="B11:D11"/>
    <mergeCell ref="B12:D12"/>
    <mergeCell ref="B13:D13"/>
    <mergeCell ref="B14:D14"/>
    <mergeCell ref="B15:D15"/>
    <mergeCell ref="B16:D16"/>
    <mergeCell ref="B17:D17"/>
    <mergeCell ref="A6:G6"/>
    <mergeCell ref="A1:B1"/>
    <mergeCell ref="D1:G2"/>
    <mergeCell ref="A2:B2"/>
    <mergeCell ref="A4:B4"/>
    <mergeCell ref="F4:G4"/>
  </mergeCells>
  <hyperlinks>
    <hyperlink ref="I2" location="Beszámoló!A1" display="Vissza a beszámolóhoz" xr:uid="{00000000-0004-0000-0D00-000000000000}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9"/>
  <dimension ref="A1:Q62"/>
  <sheetViews>
    <sheetView zoomScale="120" zoomScaleNormal="120" workbookViewId="0">
      <selection activeCell="F18" sqref="F18"/>
    </sheetView>
  </sheetViews>
  <sheetFormatPr defaultColWidth="5.33203125" defaultRowHeight="13.5"/>
  <cols>
    <col min="1" max="1" width="7.109375" style="97" customWidth="1"/>
    <col min="2" max="2" width="17.33203125" style="98" customWidth="1"/>
    <col min="3" max="3" width="10.109375" style="98" customWidth="1"/>
    <col min="4" max="7" width="8.21875" style="98" customWidth="1"/>
    <col min="8" max="8" width="8.21875" style="99" customWidth="1"/>
    <col min="9" max="10" width="8.21875" style="98" customWidth="1"/>
    <col min="11" max="11" width="8.21875" style="97" customWidth="1"/>
    <col min="12" max="16384" width="5.33203125" style="98"/>
  </cols>
  <sheetData>
    <row r="1" spans="1:17" ht="15" customHeight="1">
      <c r="A1" s="100" t="str">
        <f>Alapadatok!E9</f>
        <v>VÖRÖSKŐ KFT.</v>
      </c>
      <c r="B1" s="101"/>
      <c r="C1" s="101"/>
      <c r="D1" s="101"/>
      <c r="E1" s="101"/>
      <c r="F1" s="100"/>
      <c r="G1" s="101"/>
      <c r="H1" s="101"/>
      <c r="I1" s="101"/>
      <c r="J1" s="101"/>
    </row>
    <row r="2" spans="1:17" ht="15" customHeight="1">
      <c r="A2" s="100" t="str">
        <f>CONCATENATE("Üzleti év:   ",Alapadatok!$E$13)</f>
        <v>Üzleti év:   2023 üzleti év I. félév</v>
      </c>
      <c r="B2" s="101"/>
      <c r="C2" s="102"/>
      <c r="D2" s="102"/>
      <c r="E2" s="102"/>
      <c r="F2" s="100"/>
      <c r="G2" s="101"/>
      <c r="H2" s="101"/>
      <c r="J2" s="11"/>
      <c r="K2" s="11"/>
      <c r="L2" s="203" t="s">
        <v>538</v>
      </c>
      <c r="M2" s="266"/>
      <c r="N2" s="266"/>
      <c r="O2" s="266"/>
      <c r="P2" s="266"/>
      <c r="Q2" s="266"/>
    </row>
    <row r="3" spans="1:17" ht="15" customHeight="1">
      <c r="A3" s="103"/>
      <c r="B3" s="103"/>
      <c r="C3" s="103"/>
      <c r="D3" s="104"/>
      <c r="E3" s="104"/>
      <c r="F3" s="103"/>
      <c r="G3" s="103"/>
      <c r="H3" s="103"/>
      <c r="I3" s="104"/>
      <c r="J3" s="104"/>
    </row>
    <row r="4" spans="1:17" ht="15" customHeight="1">
      <c r="A4" s="105"/>
      <c r="B4" s="106"/>
      <c r="C4" s="107"/>
      <c r="D4" s="108"/>
      <c r="F4" s="109" t="s">
        <v>559</v>
      </c>
      <c r="G4" s="106"/>
      <c r="H4" s="110"/>
      <c r="I4" s="104"/>
      <c r="J4" s="111"/>
    </row>
    <row r="5" spans="1:17" ht="15" customHeight="1">
      <c r="A5" s="105"/>
      <c r="B5" s="104"/>
      <c r="C5" s="104"/>
      <c r="D5" s="104"/>
      <c r="E5" s="104"/>
      <c r="F5" s="105"/>
      <c r="G5" s="104"/>
      <c r="H5" s="104"/>
      <c r="I5" s="104"/>
      <c r="J5" s="104"/>
    </row>
    <row r="7" spans="1:17" ht="15.75">
      <c r="A7" s="112" t="s">
        <v>521</v>
      </c>
      <c r="B7" s="113" t="s">
        <v>560</v>
      </c>
      <c r="C7" s="114"/>
      <c r="D7" s="115"/>
      <c r="E7" s="267" t="str">
        <f>IF(F7=0," NINCS HATÁS",IF(F7&gt;0,"NYERESÉG:",IF(F7&lt;0,"VESZTESÉG:"," ")))</f>
        <v xml:space="preserve"> NINCS HATÁS</v>
      </c>
      <c r="F7" s="268">
        <f>J36+K36+J62+K62</f>
        <v>0</v>
      </c>
      <c r="G7" s="116" t="str">
        <f>IF(F7&gt;0,"T Eszköz/Forrás",IF(F7&lt;0,"K Eszköz/Forrás"," "))</f>
        <v xml:space="preserve"> </v>
      </c>
      <c r="H7" s="117"/>
      <c r="I7" s="118" t="str">
        <f>IF(F7&gt;0,"K Pénzügyi műveletek egyéb bevételei",IF(F7&lt;0,"T Pénzügyi műveletek egyéb ráfordításai"," "))</f>
        <v xml:space="preserve"> </v>
      </c>
      <c r="J7" s="119"/>
      <c r="K7" s="120"/>
    </row>
    <row r="8" spans="1:17" ht="18">
      <c r="A8" s="121"/>
      <c r="B8" s="122"/>
      <c r="C8" s="123"/>
      <c r="D8" s="123"/>
      <c r="E8" s="124"/>
      <c r="F8" s="125"/>
      <c r="G8" s="126"/>
      <c r="H8" s="127"/>
      <c r="I8" s="126"/>
      <c r="J8" s="128"/>
      <c r="K8" s="128"/>
    </row>
    <row r="9" spans="1:17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</row>
    <row r="10" spans="1:17" ht="16.5">
      <c r="A10" s="110"/>
      <c r="B10" s="104"/>
      <c r="C10" s="130"/>
      <c r="D10" s="130"/>
      <c r="E10" s="255" t="s">
        <v>561</v>
      </c>
      <c r="F10" s="256" t="s">
        <v>562</v>
      </c>
      <c r="G10" s="257" t="s">
        <v>563</v>
      </c>
      <c r="H10" s="257" t="s">
        <v>564</v>
      </c>
      <c r="I10" s="131"/>
      <c r="J10" s="131"/>
      <c r="K10" s="131"/>
    </row>
    <row r="11" spans="1:17" ht="15.75">
      <c r="A11" s="132" t="s">
        <v>565</v>
      </c>
      <c r="C11" s="133" t="s">
        <v>566</v>
      </c>
      <c r="D11" s="130"/>
      <c r="E11" s="254"/>
      <c r="F11" s="254"/>
      <c r="G11" s="254"/>
      <c r="H11" s="254"/>
      <c r="I11" s="131"/>
      <c r="J11" s="131"/>
      <c r="K11" s="131"/>
    </row>
    <row r="12" spans="1:17" ht="15.75">
      <c r="C12" s="134"/>
      <c r="D12" s="135"/>
      <c r="E12" s="135"/>
      <c r="F12" s="130"/>
      <c r="G12" s="136"/>
      <c r="H12" s="135"/>
      <c r="I12" s="131"/>
      <c r="J12" s="131"/>
      <c r="K12" s="131"/>
    </row>
    <row r="13" spans="1:17" ht="15.75">
      <c r="B13" s="182" t="s">
        <v>1458</v>
      </c>
      <c r="C13" s="134"/>
      <c r="D13" s="135"/>
      <c r="E13" s="135"/>
      <c r="F13" s="130"/>
      <c r="G13" s="136"/>
      <c r="H13" s="135"/>
      <c r="I13" s="131"/>
      <c r="K13" s="138" t="s">
        <v>567</v>
      </c>
    </row>
    <row r="14" spans="1:17" ht="13.5" customHeight="1">
      <c r="A14" s="535" t="s">
        <v>568</v>
      </c>
      <c r="B14" s="536" t="s">
        <v>569</v>
      </c>
      <c r="C14" s="536" t="s">
        <v>570</v>
      </c>
      <c r="D14" s="534" t="s">
        <v>571</v>
      </c>
      <c r="E14" s="534" t="s">
        <v>572</v>
      </c>
      <c r="F14" s="534"/>
      <c r="G14" s="534"/>
      <c r="H14" s="534" t="s">
        <v>573</v>
      </c>
      <c r="I14" s="534"/>
      <c r="J14" s="533" t="s">
        <v>574</v>
      </c>
      <c r="K14" s="533"/>
    </row>
    <row r="15" spans="1:17" ht="27">
      <c r="A15" s="535"/>
      <c r="B15" s="536"/>
      <c r="C15" s="536"/>
      <c r="D15" s="534"/>
      <c r="E15" s="139" t="s">
        <v>575</v>
      </c>
      <c r="F15" s="140" t="s">
        <v>576</v>
      </c>
      <c r="G15" s="139" t="s">
        <v>577</v>
      </c>
      <c r="H15" s="140" t="s">
        <v>577</v>
      </c>
      <c r="I15" s="141" t="s">
        <v>576</v>
      </c>
      <c r="J15" s="141" t="s">
        <v>578</v>
      </c>
      <c r="K15" s="142" t="s">
        <v>579</v>
      </c>
    </row>
    <row r="16" spans="1:17">
      <c r="A16" s="258"/>
      <c r="B16" s="259"/>
      <c r="C16" s="259"/>
      <c r="D16" s="260"/>
      <c r="E16" s="261"/>
      <c r="F16" s="261"/>
      <c r="G16" s="143">
        <f t="shared" ref="G16:G36" si="0">IF(E16=0,0,ROUND(F16/E16,2))</f>
        <v>0</v>
      </c>
      <c r="H16" s="144">
        <f t="shared" ref="H16:H35" si="1">SUMIF($E$10:$H$10,D16,$E$11:$H$11)</f>
        <v>0</v>
      </c>
      <c r="I16" s="145">
        <f t="shared" ref="I16:I35" si="2">H16*E16</f>
        <v>0</v>
      </c>
      <c r="J16" s="145">
        <f t="shared" ref="J16:J35" si="3">IF(I16-F16&gt;=0,I16-F16,"0")</f>
        <v>0</v>
      </c>
      <c r="K16" s="146" t="str">
        <f>IF(I16-F16&lt;0,I16-F16,"0")</f>
        <v>0</v>
      </c>
    </row>
    <row r="17" spans="1:11">
      <c r="A17" s="258"/>
      <c r="B17" s="259"/>
      <c r="C17" s="259"/>
      <c r="D17" s="260"/>
      <c r="E17" s="261"/>
      <c r="F17" s="261"/>
      <c r="G17" s="143">
        <f t="shared" si="0"/>
        <v>0</v>
      </c>
      <c r="H17" s="144">
        <f t="shared" si="1"/>
        <v>0</v>
      </c>
      <c r="I17" s="145">
        <f t="shared" si="2"/>
        <v>0</v>
      </c>
      <c r="J17" s="145">
        <f t="shared" si="3"/>
        <v>0</v>
      </c>
      <c r="K17" s="146" t="str">
        <f t="shared" ref="K17:K35" si="4">IF(I17-F17&lt;0,I17-F17,"0")</f>
        <v>0</v>
      </c>
    </row>
    <row r="18" spans="1:11">
      <c r="A18" s="258"/>
      <c r="B18" s="259"/>
      <c r="C18" s="259"/>
      <c r="D18" s="260"/>
      <c r="E18" s="261"/>
      <c r="F18" s="261"/>
      <c r="G18" s="143">
        <f t="shared" si="0"/>
        <v>0</v>
      </c>
      <c r="H18" s="144">
        <f t="shared" si="1"/>
        <v>0</v>
      </c>
      <c r="I18" s="145">
        <f t="shared" si="2"/>
        <v>0</v>
      </c>
      <c r="J18" s="145">
        <f t="shared" si="3"/>
        <v>0</v>
      </c>
      <c r="K18" s="146" t="str">
        <f t="shared" si="4"/>
        <v>0</v>
      </c>
    </row>
    <row r="19" spans="1:11">
      <c r="A19" s="258"/>
      <c r="B19" s="259"/>
      <c r="C19" s="259"/>
      <c r="D19" s="260"/>
      <c r="E19" s="261"/>
      <c r="F19" s="261"/>
      <c r="G19" s="143">
        <f t="shared" si="0"/>
        <v>0</v>
      </c>
      <c r="H19" s="144">
        <f t="shared" si="1"/>
        <v>0</v>
      </c>
      <c r="I19" s="145">
        <f t="shared" si="2"/>
        <v>0</v>
      </c>
      <c r="J19" s="145">
        <f t="shared" si="3"/>
        <v>0</v>
      </c>
      <c r="K19" s="146" t="str">
        <f t="shared" si="4"/>
        <v>0</v>
      </c>
    </row>
    <row r="20" spans="1:11">
      <c r="A20" s="258"/>
      <c r="B20" s="259"/>
      <c r="C20" s="259"/>
      <c r="D20" s="260"/>
      <c r="E20" s="261"/>
      <c r="F20" s="261"/>
      <c r="G20" s="143">
        <f t="shared" si="0"/>
        <v>0</v>
      </c>
      <c r="H20" s="144">
        <f t="shared" si="1"/>
        <v>0</v>
      </c>
      <c r="I20" s="145">
        <f t="shared" si="2"/>
        <v>0</v>
      </c>
      <c r="J20" s="145">
        <f t="shared" si="3"/>
        <v>0</v>
      </c>
      <c r="K20" s="146" t="str">
        <f t="shared" si="4"/>
        <v>0</v>
      </c>
    </row>
    <row r="21" spans="1:11">
      <c r="A21" s="258"/>
      <c r="B21" s="259"/>
      <c r="C21" s="259"/>
      <c r="D21" s="260"/>
      <c r="E21" s="261"/>
      <c r="F21" s="261"/>
      <c r="G21" s="143">
        <f t="shared" si="0"/>
        <v>0</v>
      </c>
      <c r="H21" s="144">
        <f t="shared" si="1"/>
        <v>0</v>
      </c>
      <c r="I21" s="145">
        <f t="shared" si="2"/>
        <v>0</v>
      </c>
      <c r="J21" s="145">
        <f t="shared" si="3"/>
        <v>0</v>
      </c>
      <c r="K21" s="146" t="str">
        <f t="shared" si="4"/>
        <v>0</v>
      </c>
    </row>
    <row r="22" spans="1:11">
      <c r="A22" s="258"/>
      <c r="B22" s="259"/>
      <c r="C22" s="259"/>
      <c r="D22" s="260"/>
      <c r="E22" s="261"/>
      <c r="F22" s="261"/>
      <c r="G22" s="143">
        <f t="shared" si="0"/>
        <v>0</v>
      </c>
      <c r="H22" s="144">
        <f t="shared" si="1"/>
        <v>0</v>
      </c>
      <c r="I22" s="145">
        <f t="shared" si="2"/>
        <v>0</v>
      </c>
      <c r="J22" s="145">
        <f t="shared" si="3"/>
        <v>0</v>
      </c>
      <c r="K22" s="146" t="str">
        <f t="shared" si="4"/>
        <v>0</v>
      </c>
    </row>
    <row r="23" spans="1:11">
      <c r="A23" s="258"/>
      <c r="B23" s="259"/>
      <c r="C23" s="259"/>
      <c r="D23" s="260"/>
      <c r="E23" s="261"/>
      <c r="F23" s="261"/>
      <c r="G23" s="143">
        <f t="shared" si="0"/>
        <v>0</v>
      </c>
      <c r="H23" s="144">
        <f t="shared" si="1"/>
        <v>0</v>
      </c>
      <c r="I23" s="145">
        <f t="shared" si="2"/>
        <v>0</v>
      </c>
      <c r="J23" s="145">
        <f t="shared" si="3"/>
        <v>0</v>
      </c>
      <c r="K23" s="146" t="str">
        <f t="shared" si="4"/>
        <v>0</v>
      </c>
    </row>
    <row r="24" spans="1:11">
      <c r="A24" s="258"/>
      <c r="B24" s="259"/>
      <c r="C24" s="259"/>
      <c r="D24" s="260"/>
      <c r="E24" s="261"/>
      <c r="F24" s="261"/>
      <c r="G24" s="143">
        <f t="shared" si="0"/>
        <v>0</v>
      </c>
      <c r="H24" s="144">
        <f t="shared" si="1"/>
        <v>0</v>
      </c>
      <c r="I24" s="145">
        <f t="shared" si="2"/>
        <v>0</v>
      </c>
      <c r="J24" s="145">
        <f t="shared" si="3"/>
        <v>0</v>
      </c>
      <c r="K24" s="146" t="str">
        <f t="shared" si="4"/>
        <v>0</v>
      </c>
    </row>
    <row r="25" spans="1:11">
      <c r="A25" s="258"/>
      <c r="B25" s="259"/>
      <c r="C25" s="259"/>
      <c r="D25" s="260"/>
      <c r="E25" s="261"/>
      <c r="F25" s="261"/>
      <c r="G25" s="143">
        <f t="shared" si="0"/>
        <v>0</v>
      </c>
      <c r="H25" s="144">
        <f t="shared" si="1"/>
        <v>0</v>
      </c>
      <c r="I25" s="145">
        <f t="shared" si="2"/>
        <v>0</v>
      </c>
      <c r="J25" s="145">
        <f t="shared" si="3"/>
        <v>0</v>
      </c>
      <c r="K25" s="146" t="str">
        <f t="shared" si="4"/>
        <v>0</v>
      </c>
    </row>
    <row r="26" spans="1:11">
      <c r="A26" s="258"/>
      <c r="B26" s="259"/>
      <c r="C26" s="259"/>
      <c r="D26" s="260"/>
      <c r="E26" s="261"/>
      <c r="F26" s="261"/>
      <c r="G26" s="143">
        <f t="shared" si="0"/>
        <v>0</v>
      </c>
      <c r="H26" s="144">
        <f t="shared" si="1"/>
        <v>0</v>
      </c>
      <c r="I26" s="145">
        <f t="shared" si="2"/>
        <v>0</v>
      </c>
      <c r="J26" s="145">
        <f t="shared" si="3"/>
        <v>0</v>
      </c>
      <c r="K26" s="146" t="str">
        <f t="shared" si="4"/>
        <v>0</v>
      </c>
    </row>
    <row r="27" spans="1:11">
      <c r="A27" s="258"/>
      <c r="B27" s="259"/>
      <c r="C27" s="259"/>
      <c r="D27" s="260"/>
      <c r="E27" s="261"/>
      <c r="F27" s="261"/>
      <c r="G27" s="143">
        <f t="shared" si="0"/>
        <v>0</v>
      </c>
      <c r="H27" s="144">
        <f t="shared" si="1"/>
        <v>0</v>
      </c>
      <c r="I27" s="145">
        <f t="shared" si="2"/>
        <v>0</v>
      </c>
      <c r="J27" s="145">
        <f t="shared" si="3"/>
        <v>0</v>
      </c>
      <c r="K27" s="146" t="str">
        <f t="shared" si="4"/>
        <v>0</v>
      </c>
    </row>
    <row r="28" spans="1:11">
      <c r="A28" s="258"/>
      <c r="B28" s="259"/>
      <c r="C28" s="259"/>
      <c r="D28" s="260"/>
      <c r="E28" s="261"/>
      <c r="F28" s="261"/>
      <c r="G28" s="143">
        <f t="shared" si="0"/>
        <v>0</v>
      </c>
      <c r="H28" s="144">
        <f t="shared" si="1"/>
        <v>0</v>
      </c>
      <c r="I28" s="145">
        <f t="shared" si="2"/>
        <v>0</v>
      </c>
      <c r="J28" s="145">
        <f t="shared" si="3"/>
        <v>0</v>
      </c>
      <c r="K28" s="146" t="str">
        <f t="shared" si="4"/>
        <v>0</v>
      </c>
    </row>
    <row r="29" spans="1:11">
      <c r="A29" s="258"/>
      <c r="B29" s="259"/>
      <c r="C29" s="259"/>
      <c r="D29" s="260"/>
      <c r="E29" s="261"/>
      <c r="F29" s="261"/>
      <c r="G29" s="143">
        <f t="shared" si="0"/>
        <v>0</v>
      </c>
      <c r="H29" s="144">
        <f t="shared" si="1"/>
        <v>0</v>
      </c>
      <c r="I29" s="145">
        <f t="shared" si="2"/>
        <v>0</v>
      </c>
      <c r="J29" s="145">
        <f t="shared" si="3"/>
        <v>0</v>
      </c>
      <c r="K29" s="146" t="str">
        <f t="shared" si="4"/>
        <v>0</v>
      </c>
    </row>
    <row r="30" spans="1:11">
      <c r="A30" s="258"/>
      <c r="B30" s="259"/>
      <c r="C30" s="259"/>
      <c r="D30" s="260"/>
      <c r="E30" s="261"/>
      <c r="F30" s="261"/>
      <c r="G30" s="143">
        <f t="shared" si="0"/>
        <v>0</v>
      </c>
      <c r="H30" s="144">
        <f t="shared" si="1"/>
        <v>0</v>
      </c>
      <c r="I30" s="145">
        <f t="shared" si="2"/>
        <v>0</v>
      </c>
      <c r="J30" s="145">
        <f t="shared" si="3"/>
        <v>0</v>
      </c>
      <c r="K30" s="146" t="str">
        <f t="shared" si="4"/>
        <v>0</v>
      </c>
    </row>
    <row r="31" spans="1:11">
      <c r="A31" s="258"/>
      <c r="B31" s="259"/>
      <c r="C31" s="259"/>
      <c r="D31" s="260"/>
      <c r="E31" s="261"/>
      <c r="F31" s="261"/>
      <c r="G31" s="143">
        <f t="shared" si="0"/>
        <v>0</v>
      </c>
      <c r="H31" s="144">
        <f t="shared" si="1"/>
        <v>0</v>
      </c>
      <c r="I31" s="145">
        <f t="shared" si="2"/>
        <v>0</v>
      </c>
      <c r="J31" s="145">
        <f t="shared" si="3"/>
        <v>0</v>
      </c>
      <c r="K31" s="146" t="str">
        <f t="shared" si="4"/>
        <v>0</v>
      </c>
    </row>
    <row r="32" spans="1:11">
      <c r="A32" s="258"/>
      <c r="B32" s="259"/>
      <c r="C32" s="259"/>
      <c r="D32" s="260"/>
      <c r="E32" s="261"/>
      <c r="F32" s="261"/>
      <c r="G32" s="143">
        <f t="shared" si="0"/>
        <v>0</v>
      </c>
      <c r="H32" s="144">
        <f t="shared" si="1"/>
        <v>0</v>
      </c>
      <c r="I32" s="145">
        <f t="shared" si="2"/>
        <v>0</v>
      </c>
      <c r="J32" s="145">
        <f t="shared" si="3"/>
        <v>0</v>
      </c>
      <c r="K32" s="146" t="str">
        <f t="shared" si="4"/>
        <v>0</v>
      </c>
    </row>
    <row r="33" spans="1:11">
      <c r="A33" s="258"/>
      <c r="B33" s="259"/>
      <c r="C33" s="259"/>
      <c r="D33" s="260"/>
      <c r="E33" s="261"/>
      <c r="F33" s="261"/>
      <c r="G33" s="143">
        <f t="shared" si="0"/>
        <v>0</v>
      </c>
      <c r="H33" s="144">
        <f t="shared" si="1"/>
        <v>0</v>
      </c>
      <c r="I33" s="145">
        <f t="shared" si="2"/>
        <v>0</v>
      </c>
      <c r="J33" s="145">
        <f t="shared" si="3"/>
        <v>0</v>
      </c>
      <c r="K33" s="146" t="str">
        <f t="shared" si="4"/>
        <v>0</v>
      </c>
    </row>
    <row r="34" spans="1:11">
      <c r="A34" s="258"/>
      <c r="B34" s="259"/>
      <c r="C34" s="259"/>
      <c r="D34" s="260"/>
      <c r="E34" s="261"/>
      <c r="F34" s="261"/>
      <c r="G34" s="143">
        <f t="shared" si="0"/>
        <v>0</v>
      </c>
      <c r="H34" s="144">
        <f t="shared" si="1"/>
        <v>0</v>
      </c>
      <c r="I34" s="145">
        <f t="shared" si="2"/>
        <v>0</v>
      </c>
      <c r="J34" s="145">
        <f t="shared" si="3"/>
        <v>0</v>
      </c>
      <c r="K34" s="146" t="str">
        <f t="shared" si="4"/>
        <v>0</v>
      </c>
    </row>
    <row r="35" spans="1:11">
      <c r="A35" s="258"/>
      <c r="B35" s="259"/>
      <c r="C35" s="259"/>
      <c r="D35" s="260"/>
      <c r="E35" s="261"/>
      <c r="F35" s="261"/>
      <c r="G35" s="143">
        <f t="shared" si="0"/>
        <v>0</v>
      </c>
      <c r="H35" s="144">
        <f t="shared" si="1"/>
        <v>0</v>
      </c>
      <c r="I35" s="145">
        <f t="shared" si="2"/>
        <v>0</v>
      </c>
      <c r="J35" s="145">
        <f t="shared" si="3"/>
        <v>0</v>
      </c>
      <c r="K35" s="146" t="str">
        <f t="shared" si="4"/>
        <v>0</v>
      </c>
    </row>
    <row r="36" spans="1:11" ht="14.25" thickBot="1">
      <c r="A36" s="147"/>
      <c r="B36" s="148"/>
      <c r="C36" s="148" t="s">
        <v>540</v>
      </c>
      <c r="D36" s="149"/>
      <c r="E36" s="150">
        <f>SUM(E16:E35)</f>
        <v>0</v>
      </c>
      <c r="F36" s="150">
        <f>SUM(F16:F35)</f>
        <v>0</v>
      </c>
      <c r="G36" s="150">
        <f t="shared" si="0"/>
        <v>0</v>
      </c>
      <c r="H36" s="151"/>
      <c r="I36" s="150">
        <f>SUM(I16:I35)</f>
        <v>0</v>
      </c>
      <c r="J36" s="150">
        <f>SUM(J16:J35)</f>
        <v>0</v>
      </c>
      <c r="K36" s="152">
        <f>SUM(K16:K35)</f>
        <v>0</v>
      </c>
    </row>
    <row r="37" spans="1:11">
      <c r="A37" s="153"/>
      <c r="B37" s="154"/>
      <c r="C37" s="154"/>
      <c r="D37" s="154"/>
      <c r="E37" s="154"/>
      <c r="F37" s="154"/>
      <c r="G37" s="154"/>
      <c r="H37" s="154"/>
      <c r="I37" s="154"/>
      <c r="J37" s="154"/>
      <c r="K37" s="155"/>
    </row>
    <row r="38" spans="1:11" ht="18">
      <c r="A38" s="156"/>
      <c r="B38" s="157"/>
      <c r="C38" s="158"/>
      <c r="D38" s="135"/>
      <c r="E38" s="135"/>
      <c r="F38" s="130"/>
      <c r="G38" s="136"/>
      <c r="H38" s="135"/>
      <c r="I38" s="131"/>
      <c r="J38" s="131"/>
      <c r="K38" s="131"/>
    </row>
    <row r="39" spans="1:11" ht="15.75">
      <c r="A39" s="137"/>
      <c r="B39" s="183" t="s">
        <v>1459</v>
      </c>
      <c r="C39" s="134"/>
      <c r="D39" s="135"/>
      <c r="E39" s="135"/>
      <c r="F39" s="130"/>
      <c r="G39" s="136"/>
      <c r="H39" s="135"/>
      <c r="I39" s="131"/>
      <c r="J39" s="131"/>
      <c r="K39" s="131"/>
    </row>
    <row r="40" spans="1:11" ht="13.5" customHeight="1">
      <c r="A40" s="535" t="s">
        <v>568</v>
      </c>
      <c r="B40" s="536" t="s">
        <v>569</v>
      </c>
      <c r="C40" s="536" t="s">
        <v>570</v>
      </c>
      <c r="D40" s="534" t="s">
        <v>580</v>
      </c>
      <c r="E40" s="531" t="s">
        <v>572</v>
      </c>
      <c r="F40" s="531"/>
      <c r="G40" s="531"/>
      <c r="H40" s="531" t="s">
        <v>581</v>
      </c>
      <c r="I40" s="531"/>
      <c r="J40" s="532" t="s">
        <v>574</v>
      </c>
      <c r="K40" s="532"/>
    </row>
    <row r="41" spans="1:11" ht="27">
      <c r="A41" s="535"/>
      <c r="B41" s="536"/>
      <c r="C41" s="536"/>
      <c r="D41" s="534"/>
      <c r="E41" s="159" t="s">
        <v>582</v>
      </c>
      <c r="F41" s="160" t="s">
        <v>576</v>
      </c>
      <c r="G41" s="160" t="s">
        <v>577</v>
      </c>
      <c r="H41" s="160" t="s">
        <v>577</v>
      </c>
      <c r="I41" s="160" t="s">
        <v>576</v>
      </c>
      <c r="J41" s="161" t="s">
        <v>578</v>
      </c>
      <c r="K41" s="162" t="s">
        <v>579</v>
      </c>
    </row>
    <row r="42" spans="1:11">
      <c r="A42" s="262"/>
      <c r="B42" s="263"/>
      <c r="C42" s="263"/>
      <c r="D42" s="264"/>
      <c r="E42" s="265"/>
      <c r="F42" s="265"/>
      <c r="G42" s="143">
        <f>IF(E42=0,0,ROUND(F42/E42,2))</f>
        <v>0</v>
      </c>
      <c r="H42" s="144">
        <f>SUMIF($E$10:$H$10,D42,$E$11:$H$11)</f>
        <v>0</v>
      </c>
      <c r="I42" s="145">
        <f>E42*H42</f>
        <v>0</v>
      </c>
      <c r="J42" s="145">
        <f>IF(I42-F42&lt;0,I42-F42)*-1</f>
        <v>0</v>
      </c>
      <c r="K42" s="146">
        <f t="shared" ref="K42:K61" si="5">IF(I42-F42&gt;=0,I42-F42,"0")*-1</f>
        <v>0</v>
      </c>
    </row>
    <row r="43" spans="1:11">
      <c r="A43" s="262"/>
      <c r="B43" s="263"/>
      <c r="C43" s="263"/>
      <c r="D43" s="264"/>
      <c r="E43" s="265"/>
      <c r="F43" s="265"/>
      <c r="G43" s="143">
        <f t="shared" ref="G43:G61" si="6">IF(E43=0,0,ROUND(F43/E43,2))</f>
        <v>0</v>
      </c>
      <c r="H43" s="144">
        <f t="shared" ref="H43:H61" si="7">SUMIF($E$10:$H$10,D43,$E$11:$H$11)</f>
        <v>0</v>
      </c>
      <c r="I43" s="145">
        <f t="shared" ref="I43:I61" si="8">E43*H43</f>
        <v>0</v>
      </c>
      <c r="J43" s="145">
        <f t="shared" ref="J43:J61" si="9">IF(I43-F43&lt;0,I43-F43)*-1</f>
        <v>0</v>
      </c>
      <c r="K43" s="146">
        <f t="shared" si="5"/>
        <v>0</v>
      </c>
    </row>
    <row r="44" spans="1:11">
      <c r="A44" s="262"/>
      <c r="B44" s="263"/>
      <c r="C44" s="263"/>
      <c r="D44" s="264"/>
      <c r="E44" s="265"/>
      <c r="F44" s="265"/>
      <c r="G44" s="143">
        <f t="shared" si="6"/>
        <v>0</v>
      </c>
      <c r="H44" s="144">
        <f t="shared" si="7"/>
        <v>0</v>
      </c>
      <c r="I44" s="145">
        <f t="shared" si="8"/>
        <v>0</v>
      </c>
      <c r="J44" s="145">
        <f t="shared" si="9"/>
        <v>0</v>
      </c>
      <c r="K44" s="146">
        <f t="shared" si="5"/>
        <v>0</v>
      </c>
    </row>
    <row r="45" spans="1:11">
      <c r="A45" s="262"/>
      <c r="B45" s="263"/>
      <c r="C45" s="263"/>
      <c r="D45" s="264"/>
      <c r="E45" s="265"/>
      <c r="F45" s="265"/>
      <c r="G45" s="143">
        <f t="shared" si="6"/>
        <v>0</v>
      </c>
      <c r="H45" s="144">
        <f t="shared" si="7"/>
        <v>0</v>
      </c>
      <c r="I45" s="145">
        <f t="shared" si="8"/>
        <v>0</v>
      </c>
      <c r="J45" s="145">
        <f t="shared" si="9"/>
        <v>0</v>
      </c>
      <c r="K45" s="146">
        <f t="shared" si="5"/>
        <v>0</v>
      </c>
    </row>
    <row r="46" spans="1:11">
      <c r="A46" s="262"/>
      <c r="B46" s="263"/>
      <c r="C46" s="263"/>
      <c r="D46" s="264"/>
      <c r="E46" s="265"/>
      <c r="F46" s="265"/>
      <c r="G46" s="143">
        <f t="shared" si="6"/>
        <v>0</v>
      </c>
      <c r="H46" s="144">
        <f t="shared" si="7"/>
        <v>0</v>
      </c>
      <c r="I46" s="145">
        <f t="shared" si="8"/>
        <v>0</v>
      </c>
      <c r="J46" s="145">
        <f t="shared" si="9"/>
        <v>0</v>
      </c>
      <c r="K46" s="146">
        <f t="shared" si="5"/>
        <v>0</v>
      </c>
    </row>
    <row r="47" spans="1:11">
      <c r="A47" s="262"/>
      <c r="B47" s="263"/>
      <c r="C47" s="263"/>
      <c r="D47" s="264"/>
      <c r="E47" s="265"/>
      <c r="F47" s="265"/>
      <c r="G47" s="143">
        <f t="shared" si="6"/>
        <v>0</v>
      </c>
      <c r="H47" s="144">
        <f t="shared" si="7"/>
        <v>0</v>
      </c>
      <c r="I47" s="145">
        <f t="shared" si="8"/>
        <v>0</v>
      </c>
      <c r="J47" s="145">
        <f t="shared" si="9"/>
        <v>0</v>
      </c>
      <c r="K47" s="146">
        <f t="shared" si="5"/>
        <v>0</v>
      </c>
    </row>
    <row r="48" spans="1:11">
      <c r="A48" s="262"/>
      <c r="B48" s="263"/>
      <c r="C48" s="263"/>
      <c r="D48" s="264"/>
      <c r="E48" s="265"/>
      <c r="F48" s="265"/>
      <c r="G48" s="143">
        <f t="shared" si="6"/>
        <v>0</v>
      </c>
      <c r="H48" s="144">
        <f t="shared" si="7"/>
        <v>0</v>
      </c>
      <c r="I48" s="145">
        <f t="shared" si="8"/>
        <v>0</v>
      </c>
      <c r="J48" s="145">
        <f t="shared" si="9"/>
        <v>0</v>
      </c>
      <c r="K48" s="146">
        <f t="shared" si="5"/>
        <v>0</v>
      </c>
    </row>
    <row r="49" spans="1:11">
      <c r="A49" s="262"/>
      <c r="B49" s="263"/>
      <c r="C49" s="263"/>
      <c r="D49" s="264"/>
      <c r="E49" s="265"/>
      <c r="F49" s="265"/>
      <c r="G49" s="143">
        <f t="shared" si="6"/>
        <v>0</v>
      </c>
      <c r="H49" s="144">
        <f t="shared" si="7"/>
        <v>0</v>
      </c>
      <c r="I49" s="145">
        <f t="shared" si="8"/>
        <v>0</v>
      </c>
      <c r="J49" s="145">
        <f t="shared" si="9"/>
        <v>0</v>
      </c>
      <c r="K49" s="146">
        <f t="shared" si="5"/>
        <v>0</v>
      </c>
    </row>
    <row r="50" spans="1:11">
      <c r="A50" s="262"/>
      <c r="B50" s="263"/>
      <c r="C50" s="263"/>
      <c r="D50" s="264"/>
      <c r="E50" s="265"/>
      <c r="F50" s="265"/>
      <c r="G50" s="143">
        <f t="shared" si="6"/>
        <v>0</v>
      </c>
      <c r="H50" s="144">
        <f t="shared" si="7"/>
        <v>0</v>
      </c>
      <c r="I50" s="145">
        <f t="shared" si="8"/>
        <v>0</v>
      </c>
      <c r="J50" s="145">
        <f t="shared" si="9"/>
        <v>0</v>
      </c>
      <c r="K50" s="146">
        <f t="shared" si="5"/>
        <v>0</v>
      </c>
    </row>
    <row r="51" spans="1:11">
      <c r="A51" s="262"/>
      <c r="B51" s="263"/>
      <c r="C51" s="263"/>
      <c r="D51" s="264"/>
      <c r="E51" s="265"/>
      <c r="F51" s="265"/>
      <c r="G51" s="143">
        <f t="shared" si="6"/>
        <v>0</v>
      </c>
      <c r="H51" s="144">
        <f t="shared" si="7"/>
        <v>0</v>
      </c>
      <c r="I51" s="145">
        <f t="shared" si="8"/>
        <v>0</v>
      </c>
      <c r="J51" s="145">
        <f t="shared" si="9"/>
        <v>0</v>
      </c>
      <c r="K51" s="146">
        <f t="shared" si="5"/>
        <v>0</v>
      </c>
    </row>
    <row r="52" spans="1:11">
      <c r="A52" s="262"/>
      <c r="B52" s="263"/>
      <c r="C52" s="263"/>
      <c r="D52" s="264"/>
      <c r="E52" s="265"/>
      <c r="F52" s="265"/>
      <c r="G52" s="143">
        <f t="shared" si="6"/>
        <v>0</v>
      </c>
      <c r="H52" s="144">
        <f t="shared" si="7"/>
        <v>0</v>
      </c>
      <c r="I52" s="145">
        <f t="shared" si="8"/>
        <v>0</v>
      </c>
      <c r="J52" s="145">
        <f t="shared" si="9"/>
        <v>0</v>
      </c>
      <c r="K52" s="146">
        <f t="shared" si="5"/>
        <v>0</v>
      </c>
    </row>
    <row r="53" spans="1:11">
      <c r="A53" s="262"/>
      <c r="B53" s="263"/>
      <c r="C53" s="263"/>
      <c r="D53" s="264"/>
      <c r="E53" s="265"/>
      <c r="F53" s="265"/>
      <c r="G53" s="143">
        <f t="shared" si="6"/>
        <v>0</v>
      </c>
      <c r="H53" s="144">
        <f t="shared" si="7"/>
        <v>0</v>
      </c>
      <c r="I53" s="145">
        <f t="shared" si="8"/>
        <v>0</v>
      </c>
      <c r="J53" s="145">
        <f t="shared" si="9"/>
        <v>0</v>
      </c>
      <c r="K53" s="146">
        <f t="shared" si="5"/>
        <v>0</v>
      </c>
    </row>
    <row r="54" spans="1:11">
      <c r="A54" s="262"/>
      <c r="B54" s="263"/>
      <c r="C54" s="263"/>
      <c r="D54" s="264"/>
      <c r="E54" s="265"/>
      <c r="F54" s="265"/>
      <c r="G54" s="143">
        <f t="shared" si="6"/>
        <v>0</v>
      </c>
      <c r="H54" s="144">
        <f t="shared" si="7"/>
        <v>0</v>
      </c>
      <c r="I54" s="145">
        <f t="shared" si="8"/>
        <v>0</v>
      </c>
      <c r="J54" s="145">
        <f t="shared" si="9"/>
        <v>0</v>
      </c>
      <c r="K54" s="146">
        <f t="shared" si="5"/>
        <v>0</v>
      </c>
    </row>
    <row r="55" spans="1:11">
      <c r="A55" s="262"/>
      <c r="B55" s="263"/>
      <c r="C55" s="263"/>
      <c r="D55" s="264"/>
      <c r="E55" s="265"/>
      <c r="F55" s="265"/>
      <c r="G55" s="143">
        <f t="shared" si="6"/>
        <v>0</v>
      </c>
      <c r="H55" s="144">
        <f t="shared" si="7"/>
        <v>0</v>
      </c>
      <c r="I55" s="145">
        <f t="shared" si="8"/>
        <v>0</v>
      </c>
      <c r="J55" s="145">
        <f t="shared" si="9"/>
        <v>0</v>
      </c>
      <c r="K55" s="146">
        <f t="shared" si="5"/>
        <v>0</v>
      </c>
    </row>
    <row r="56" spans="1:11">
      <c r="A56" s="262"/>
      <c r="B56" s="263"/>
      <c r="C56" s="263"/>
      <c r="D56" s="264"/>
      <c r="E56" s="265"/>
      <c r="F56" s="265"/>
      <c r="G56" s="143">
        <f t="shared" si="6"/>
        <v>0</v>
      </c>
      <c r="H56" s="144">
        <f t="shared" si="7"/>
        <v>0</v>
      </c>
      <c r="I56" s="145">
        <f t="shared" si="8"/>
        <v>0</v>
      </c>
      <c r="J56" s="145">
        <f t="shared" si="9"/>
        <v>0</v>
      </c>
      <c r="K56" s="146">
        <f t="shared" si="5"/>
        <v>0</v>
      </c>
    </row>
    <row r="57" spans="1:11">
      <c r="A57" s="262"/>
      <c r="B57" s="263"/>
      <c r="C57" s="263"/>
      <c r="D57" s="264"/>
      <c r="E57" s="265"/>
      <c r="F57" s="265"/>
      <c r="G57" s="143">
        <f t="shared" si="6"/>
        <v>0</v>
      </c>
      <c r="H57" s="144">
        <f t="shared" si="7"/>
        <v>0</v>
      </c>
      <c r="I57" s="145">
        <f t="shared" si="8"/>
        <v>0</v>
      </c>
      <c r="J57" s="145">
        <f t="shared" si="9"/>
        <v>0</v>
      </c>
      <c r="K57" s="146">
        <f t="shared" si="5"/>
        <v>0</v>
      </c>
    </row>
    <row r="58" spans="1:11">
      <c r="A58" s="262"/>
      <c r="B58" s="263"/>
      <c r="C58" s="263"/>
      <c r="D58" s="264"/>
      <c r="E58" s="265"/>
      <c r="F58" s="265"/>
      <c r="G58" s="143">
        <f t="shared" si="6"/>
        <v>0</v>
      </c>
      <c r="H58" s="144">
        <f t="shared" si="7"/>
        <v>0</v>
      </c>
      <c r="I58" s="145">
        <f t="shared" si="8"/>
        <v>0</v>
      </c>
      <c r="J58" s="145">
        <f t="shared" si="9"/>
        <v>0</v>
      </c>
      <c r="K58" s="146">
        <f t="shared" si="5"/>
        <v>0</v>
      </c>
    </row>
    <row r="59" spans="1:11">
      <c r="A59" s="262"/>
      <c r="B59" s="263"/>
      <c r="C59" s="263"/>
      <c r="D59" s="264"/>
      <c r="E59" s="265"/>
      <c r="F59" s="265"/>
      <c r="G59" s="143">
        <f t="shared" si="6"/>
        <v>0</v>
      </c>
      <c r="H59" s="144">
        <f t="shared" si="7"/>
        <v>0</v>
      </c>
      <c r="I59" s="145">
        <f t="shared" si="8"/>
        <v>0</v>
      </c>
      <c r="J59" s="145">
        <f t="shared" si="9"/>
        <v>0</v>
      </c>
      <c r="K59" s="146">
        <f t="shared" si="5"/>
        <v>0</v>
      </c>
    </row>
    <row r="60" spans="1:11">
      <c r="A60" s="262"/>
      <c r="B60" s="263"/>
      <c r="C60" s="263"/>
      <c r="D60" s="264"/>
      <c r="E60" s="265"/>
      <c r="F60" s="265"/>
      <c r="G60" s="143">
        <f t="shared" si="6"/>
        <v>0</v>
      </c>
      <c r="H60" s="144">
        <f t="shared" si="7"/>
        <v>0</v>
      </c>
      <c r="I60" s="145">
        <f t="shared" si="8"/>
        <v>0</v>
      </c>
      <c r="J60" s="145">
        <f t="shared" si="9"/>
        <v>0</v>
      </c>
      <c r="K60" s="146">
        <f t="shared" si="5"/>
        <v>0</v>
      </c>
    </row>
    <row r="61" spans="1:11">
      <c r="A61" s="262"/>
      <c r="B61" s="263"/>
      <c r="C61" s="263"/>
      <c r="D61" s="264"/>
      <c r="E61" s="265"/>
      <c r="F61" s="265"/>
      <c r="G61" s="143">
        <f t="shared" si="6"/>
        <v>0</v>
      </c>
      <c r="H61" s="144">
        <f t="shared" si="7"/>
        <v>0</v>
      </c>
      <c r="I61" s="145">
        <f t="shared" si="8"/>
        <v>0</v>
      </c>
      <c r="J61" s="145">
        <f t="shared" si="9"/>
        <v>0</v>
      </c>
      <c r="K61" s="146">
        <f t="shared" si="5"/>
        <v>0</v>
      </c>
    </row>
    <row r="62" spans="1:11">
      <c r="A62" s="163"/>
      <c r="B62" s="164"/>
      <c r="C62" s="148" t="s">
        <v>540</v>
      </c>
      <c r="D62" s="149"/>
      <c r="E62" s="150">
        <f>SUM(E42:E61)</f>
        <v>0</v>
      </c>
      <c r="F62" s="150">
        <f>SUM(F41:F61)</f>
        <v>0</v>
      </c>
      <c r="G62" s="151"/>
      <c r="H62" s="151"/>
      <c r="I62" s="150">
        <f>SUM(I42:I61)</f>
        <v>0</v>
      </c>
      <c r="J62" s="150">
        <f>SUM(J42:J61)</f>
        <v>0</v>
      </c>
      <c r="K62" s="152">
        <f>SUM(K42:K61)</f>
        <v>0</v>
      </c>
    </row>
  </sheetData>
  <sheetProtection selectLockedCells="1" selectUnlockedCells="1"/>
  <mergeCells count="14">
    <mergeCell ref="H40:I40"/>
    <mergeCell ref="J40:K40"/>
    <mergeCell ref="J14:K14"/>
    <mergeCell ref="H14:I14"/>
    <mergeCell ref="A40:A41"/>
    <mergeCell ref="A14:A15"/>
    <mergeCell ref="B14:B15"/>
    <mergeCell ref="C14:C15"/>
    <mergeCell ref="D14:D15"/>
    <mergeCell ref="E14:G14"/>
    <mergeCell ref="B40:B41"/>
    <mergeCell ref="C40:C41"/>
    <mergeCell ref="D40:D41"/>
    <mergeCell ref="E40:G40"/>
  </mergeCells>
  <hyperlinks>
    <hyperlink ref="L2" location="'Kieg. mell., elemzések'!A86" display="Vissza a kieg. mell.,elemzésekhez" xr:uid="{00000000-0004-0000-1C00-000000000000}"/>
  </hyperlinks>
  <pageMargins left="0.75" right="0.75" top="0.52013888888888893" bottom="0.52013888888888893" header="0.5" footer="0.5"/>
  <pageSetup paperSize="9" scale="66" firstPageNumber="0" orientation="portrait" horizontalDpi="300" verticalDpi="300" r:id="rId1"/>
  <headerFooter alignWithMargins="0">
    <oddHeader>&amp;R&amp;P/&amp;N</oddHeader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31">
    <tabColor rgb="FFFF0000"/>
  </sheetPr>
  <dimension ref="A1:G28"/>
  <sheetViews>
    <sheetView workbookViewId="0">
      <selection activeCell="G32" sqref="G32"/>
    </sheetView>
  </sheetViews>
  <sheetFormatPr defaultRowHeight="15"/>
  <cols>
    <col min="1" max="1" width="43" customWidth="1"/>
    <col min="2" max="2" width="15" customWidth="1"/>
    <col min="3" max="3" width="12.33203125" bestFit="1" customWidth="1"/>
    <col min="4" max="4" width="6.21875" customWidth="1"/>
    <col min="5" max="5" width="11.44140625" customWidth="1"/>
    <col min="6" max="6" width="16.6640625" customWidth="1"/>
  </cols>
  <sheetData>
    <row r="1" spans="1:7" ht="15.75">
      <c r="A1" s="4" t="str">
        <f>Alapadatok!E9</f>
        <v>VÖRÖSKŐ KFT.</v>
      </c>
      <c r="B1" s="2"/>
      <c r="C1" s="2"/>
      <c r="D1" s="206"/>
      <c r="E1" s="206"/>
      <c r="F1" s="206"/>
      <c r="G1" s="206"/>
    </row>
    <row r="2" spans="1:7" ht="15.75">
      <c r="A2" s="4" t="str">
        <f>CONCATENATE("Üzleti év:   ",Alapadatok!$E$13)</f>
        <v>Üzleti év:   2023 üzleti év I. félév</v>
      </c>
      <c r="B2" s="2"/>
      <c r="C2" s="2"/>
      <c r="D2" s="203" t="s">
        <v>538</v>
      </c>
      <c r="E2" s="205"/>
      <c r="F2" s="206"/>
      <c r="G2" s="206"/>
    </row>
    <row r="3" spans="1:7" ht="15.75">
      <c r="A3" s="4"/>
      <c r="B3" s="2"/>
      <c r="C3" s="2"/>
    </row>
    <row r="4" spans="1:7" ht="15.75">
      <c r="A4" s="4" t="s">
        <v>319</v>
      </c>
      <c r="B4" s="2"/>
      <c r="C4" s="2"/>
    </row>
    <row r="5" spans="1:7">
      <c r="A5" s="2"/>
      <c r="B5" s="2"/>
      <c r="C5" s="2"/>
    </row>
    <row r="6" spans="1:7">
      <c r="A6" s="165" t="s">
        <v>583</v>
      </c>
      <c r="B6" s="166" t="s">
        <v>584</v>
      </c>
      <c r="C6" s="167" t="s">
        <v>585</v>
      </c>
    </row>
    <row r="7" spans="1:7">
      <c r="A7" s="168" t="s">
        <v>586</v>
      </c>
      <c r="B7" s="270">
        <v>818575</v>
      </c>
      <c r="C7" s="209">
        <f t="shared" ref="C7:C12" si="0">IF($B$12&lt;&gt;0,B7/$B$12%,0)</f>
        <v>94.007283317848731</v>
      </c>
    </row>
    <row r="8" spans="1:7">
      <c r="A8" s="168" t="s">
        <v>587</v>
      </c>
      <c r="B8" s="270">
        <v>15147</v>
      </c>
      <c r="C8" s="209">
        <f t="shared" si="0"/>
        <v>1.7395208996310108</v>
      </c>
    </row>
    <row r="9" spans="1:7">
      <c r="A9" s="168" t="s">
        <v>588</v>
      </c>
      <c r="B9" s="270">
        <v>574</v>
      </c>
      <c r="C9" s="209">
        <f t="shared" si="0"/>
        <v>6.5919653818459115E-2</v>
      </c>
    </row>
    <row r="10" spans="1:7">
      <c r="A10" s="168" t="s">
        <v>589</v>
      </c>
      <c r="B10" s="270">
        <v>462</v>
      </c>
      <c r="C10" s="209">
        <f t="shared" si="0"/>
        <v>5.30572823416866E-2</v>
      </c>
    </row>
    <row r="11" spans="1:7">
      <c r="A11" s="168" t="s">
        <v>590</v>
      </c>
      <c r="B11" s="270">
        <v>35999</v>
      </c>
      <c r="C11" s="209">
        <f t="shared" si="0"/>
        <v>4.1342188463601213</v>
      </c>
    </row>
    <row r="12" spans="1:7" ht="15.75">
      <c r="A12" s="169" t="s">
        <v>591</v>
      </c>
      <c r="B12" s="271">
        <f>SUM(B7:B11)</f>
        <v>870757</v>
      </c>
      <c r="C12" s="210">
        <f t="shared" si="0"/>
        <v>100</v>
      </c>
    </row>
    <row r="16" spans="1:7" s="11" customFormat="1" ht="12.75"/>
    <row r="17" spans="1:6" s="11" customFormat="1" ht="12.75"/>
    <row r="18" spans="1:6" s="11" customFormat="1" ht="12.75">
      <c r="A18" s="272" t="s">
        <v>1478</v>
      </c>
    </row>
    <row r="19" spans="1:6" s="11" customFormat="1" ht="12.75">
      <c r="A19" s="272" t="s">
        <v>1479</v>
      </c>
      <c r="B19" s="272" t="s">
        <v>1480</v>
      </c>
      <c r="C19" s="272" t="s">
        <v>471</v>
      </c>
      <c r="E19" s="273" t="s">
        <v>1490</v>
      </c>
      <c r="F19" s="273" t="s">
        <v>1491</v>
      </c>
    </row>
    <row r="20" spans="1:6" s="11" customFormat="1" ht="12.75">
      <c r="A20" s="11">
        <v>1</v>
      </c>
      <c r="B20" s="11" t="s">
        <v>1481</v>
      </c>
      <c r="C20" s="12">
        <v>1511799380</v>
      </c>
      <c r="E20" s="12">
        <v>1111752</v>
      </c>
      <c r="F20" s="12">
        <f>GETPIVOTDATA("Összeg SP-ben",$A$18,"1",1,"Kategóriák ","Nem lejárt ")-E20</f>
        <v>1510687628</v>
      </c>
    </row>
    <row r="21" spans="1:6" s="11" customFormat="1" ht="12.75">
      <c r="A21" s="11">
        <v>2</v>
      </c>
      <c r="B21" s="11" t="s">
        <v>1482</v>
      </c>
      <c r="C21" s="12">
        <v>818575016</v>
      </c>
      <c r="F21" s="12">
        <v>818575016</v>
      </c>
    </row>
    <row r="22" spans="1:6" s="11" customFormat="1" ht="12.75">
      <c r="A22" s="11">
        <v>3</v>
      </c>
      <c r="B22" s="11" t="s">
        <v>1483</v>
      </c>
      <c r="C22" s="12">
        <v>11897992</v>
      </c>
      <c r="F22" s="12">
        <v>11897992</v>
      </c>
    </row>
    <row r="23" spans="1:6" s="11" customFormat="1" ht="12.75">
      <c r="A23" s="11">
        <v>4</v>
      </c>
      <c r="B23" s="11" t="s">
        <v>1484</v>
      </c>
      <c r="C23" s="12">
        <v>3249160</v>
      </c>
      <c r="F23" s="12">
        <v>3249160</v>
      </c>
    </row>
    <row r="24" spans="1:6" s="11" customFormat="1" ht="12.75">
      <c r="A24" s="11">
        <v>5</v>
      </c>
      <c r="B24" s="11" t="s">
        <v>1485</v>
      </c>
      <c r="C24" s="12">
        <v>573558</v>
      </c>
      <c r="F24" s="12">
        <v>573558</v>
      </c>
    </row>
    <row r="25" spans="1:6" s="11" customFormat="1" ht="12.75">
      <c r="A25" s="11">
        <v>6</v>
      </c>
      <c r="B25" s="11" t="s">
        <v>1486</v>
      </c>
      <c r="C25" s="12">
        <v>461960</v>
      </c>
      <c r="F25" s="12">
        <v>461960</v>
      </c>
    </row>
    <row r="26" spans="1:6" s="11" customFormat="1" ht="12.75">
      <c r="A26" s="11">
        <v>7</v>
      </c>
      <c r="B26" s="11" t="s">
        <v>1487</v>
      </c>
      <c r="C26" s="12">
        <v>35998918</v>
      </c>
      <c r="F26" s="12">
        <v>35998918</v>
      </c>
    </row>
    <row r="27" spans="1:6" s="11" customFormat="1" ht="12.75" hidden="1">
      <c r="A27" s="11" t="s">
        <v>1488</v>
      </c>
      <c r="B27" s="11" t="s">
        <v>1488</v>
      </c>
      <c r="C27" s="12"/>
      <c r="F27" s="12"/>
    </row>
    <row r="28" spans="1:6" s="11" customFormat="1" ht="12.75">
      <c r="A28" s="11" t="s">
        <v>1489</v>
      </c>
      <c r="C28" s="12">
        <v>2382555984</v>
      </c>
      <c r="E28" s="274">
        <f>SUM(E20:E27)</f>
        <v>1111752</v>
      </c>
      <c r="F28" s="274">
        <f>SUM(F20:F27)</f>
        <v>2381444232</v>
      </c>
    </row>
  </sheetData>
  <sheetProtection selectLockedCells="1" selectUnlockedCells="1"/>
  <hyperlinks>
    <hyperlink ref="D2" location="'Kieg. mell., elemzések'!A72" display="Vissza a kieg. mell.,elemzésekhez" xr:uid="{00000000-0004-0000-1E00-000000000000}"/>
  </hyperlinks>
  <pageMargins left="0.75" right="0.75" top="1" bottom="1" header="0.51180555555555551" footer="0.51180555555555551"/>
  <pageSetup paperSize="9" firstPageNumber="0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unka36">
    <tabColor rgb="FF73B04E"/>
  </sheetPr>
  <dimension ref="A1:F203"/>
  <sheetViews>
    <sheetView workbookViewId="0"/>
  </sheetViews>
  <sheetFormatPr defaultColWidth="8.88671875" defaultRowHeight="13.5"/>
  <cols>
    <col min="1" max="1" width="5.88671875" style="170" customWidth="1"/>
    <col min="2" max="2" width="47.21875" style="171" customWidth="1"/>
    <col min="3" max="3" width="36.5546875" style="171" customWidth="1"/>
    <col min="4" max="4" width="37" style="171" customWidth="1"/>
    <col min="5" max="5" width="10.33203125" style="171" customWidth="1"/>
    <col min="6" max="16384" width="8.88671875" style="171"/>
  </cols>
  <sheetData>
    <row r="1" spans="1:6">
      <c r="B1" s="172" t="s">
        <v>214</v>
      </c>
      <c r="E1" s="171" t="s">
        <v>592</v>
      </c>
      <c r="F1" s="171">
        <v>2</v>
      </c>
    </row>
    <row r="2" spans="1:6">
      <c r="A2" s="170">
        <v>1</v>
      </c>
      <c r="B2" s="171" t="s">
        <v>593</v>
      </c>
      <c r="C2" s="171" t="s">
        <v>594</v>
      </c>
      <c r="D2" s="171" t="s">
        <v>595</v>
      </c>
    </row>
    <row r="3" spans="1:6">
      <c r="A3" s="170">
        <v>2</v>
      </c>
      <c r="B3" s="171" t="s">
        <v>596</v>
      </c>
      <c r="C3" s="171" t="s">
        <v>597</v>
      </c>
      <c r="D3" s="171" t="s">
        <v>598</v>
      </c>
      <c r="F3" s="171" t="str">
        <f>CHOOSE($F$1,B3,C3,D3,E3)</f>
        <v xml:space="preserve">  I. INTANGIBLE ASSETS (3.-9.)</v>
      </c>
    </row>
    <row r="4" spans="1:6">
      <c r="A4" s="170">
        <v>3</v>
      </c>
      <c r="B4" s="171" t="s">
        <v>35</v>
      </c>
      <c r="C4" s="171" t="s">
        <v>599</v>
      </c>
      <c r="D4" s="171" t="s">
        <v>600</v>
      </c>
    </row>
    <row r="5" spans="1:6">
      <c r="A5" s="170">
        <v>4</v>
      </c>
      <c r="B5" s="171" t="s">
        <v>601</v>
      </c>
      <c r="C5" s="171" t="s">
        <v>602</v>
      </c>
      <c r="D5" s="171" t="s">
        <v>603</v>
      </c>
      <c r="F5" s="171" t="str">
        <f>CHOOSE($F$1,B5,C5,D5,E5)</f>
        <v xml:space="preserve">   Capitalised value of research and development</v>
      </c>
    </row>
    <row r="6" spans="1:6">
      <c r="A6" s="170">
        <v>5</v>
      </c>
      <c r="B6" s="171" t="s">
        <v>37</v>
      </c>
      <c r="C6" s="171" t="s">
        <v>604</v>
      </c>
      <c r="D6" s="171" t="s">
        <v>605</v>
      </c>
      <c r="F6" s="171" t="str">
        <f>CHOOSE($F$1,B6,C6,D6,E6)</f>
        <v xml:space="preserve">    Concessions, licenses and similar rights </v>
      </c>
    </row>
    <row r="7" spans="1:6">
      <c r="A7" s="170">
        <v>6</v>
      </c>
      <c r="B7" s="171" t="s">
        <v>38</v>
      </c>
      <c r="C7" s="171" t="s">
        <v>606</v>
      </c>
      <c r="D7" s="171" t="s">
        <v>607</v>
      </c>
      <c r="F7" s="171" t="str">
        <f>CHOOSE($F$1,B7,C7,D7,E7)</f>
        <v xml:space="preserve">    Trade-marks, patents and similar assets</v>
      </c>
    </row>
    <row r="8" spans="1:6">
      <c r="A8" s="170">
        <v>7</v>
      </c>
      <c r="B8" s="171" t="s">
        <v>39</v>
      </c>
      <c r="C8" s="171" t="s">
        <v>608</v>
      </c>
      <c r="D8" s="171" t="s">
        <v>609</v>
      </c>
      <c r="F8" s="171" t="str">
        <f>CHOOSE($F$1,B8,C8,D8,E8)</f>
        <v xml:space="preserve">    Goodwill </v>
      </c>
    </row>
    <row r="9" spans="1:6">
      <c r="A9" s="170">
        <v>8</v>
      </c>
      <c r="B9" s="171" t="s">
        <v>40</v>
      </c>
      <c r="C9" s="171" t="s">
        <v>610</v>
      </c>
      <c r="D9" s="171" t="s">
        <v>611</v>
      </c>
      <c r="F9" s="171" t="str">
        <f>CHOOSE($F$1,B9,C9,D9,E9)</f>
        <v xml:space="preserve">    Advances and prepayments on intangible assets </v>
      </c>
    </row>
    <row r="10" spans="1:6">
      <c r="A10" s="170">
        <v>9</v>
      </c>
      <c r="B10" s="171" t="s">
        <v>41</v>
      </c>
      <c r="C10" s="171" t="s">
        <v>612</v>
      </c>
      <c r="D10" s="171" t="s">
        <v>613</v>
      </c>
    </row>
    <row r="11" spans="1:6">
      <c r="A11" s="170">
        <v>10</v>
      </c>
      <c r="B11" s="171" t="s">
        <v>614</v>
      </c>
      <c r="C11" s="171" t="s">
        <v>615</v>
      </c>
      <c r="D11" s="171" t="s">
        <v>616</v>
      </c>
    </row>
    <row r="12" spans="1:6">
      <c r="A12" s="170">
        <v>11</v>
      </c>
      <c r="B12" s="171" t="s">
        <v>43</v>
      </c>
      <c r="C12" s="171" t="s">
        <v>617</v>
      </c>
      <c r="D12" s="171" t="s">
        <v>618</v>
      </c>
    </row>
    <row r="13" spans="1:6">
      <c r="A13" s="170">
        <v>12</v>
      </c>
      <c r="B13" s="171" t="s">
        <v>44</v>
      </c>
      <c r="C13" s="171" t="s">
        <v>619</v>
      </c>
      <c r="D13" s="171" t="s">
        <v>620</v>
      </c>
    </row>
    <row r="14" spans="1:6">
      <c r="A14" s="170">
        <v>13</v>
      </c>
      <c r="B14" s="171" t="s">
        <v>45</v>
      </c>
      <c r="C14" s="171" t="s">
        <v>621</v>
      </c>
      <c r="D14" s="171" t="s">
        <v>622</v>
      </c>
    </row>
    <row r="15" spans="1:6">
      <c r="A15" s="170">
        <v>14</v>
      </c>
      <c r="B15" s="171" t="s">
        <v>46</v>
      </c>
      <c r="C15" s="171" t="s">
        <v>623</v>
      </c>
      <c r="D15" s="171" t="s">
        <v>624</v>
      </c>
    </row>
    <row r="16" spans="1:6">
      <c r="A16" s="170">
        <v>15</v>
      </c>
      <c r="B16" s="171" t="s">
        <v>625</v>
      </c>
      <c r="C16" s="171" t="s">
        <v>626</v>
      </c>
      <c r="D16" s="171" t="s">
        <v>627</v>
      </c>
    </row>
    <row r="17" spans="1:4">
      <c r="A17" s="170">
        <v>16</v>
      </c>
      <c r="B17" s="171" t="s">
        <v>628</v>
      </c>
      <c r="C17" s="171" t="s">
        <v>629</v>
      </c>
      <c r="D17" s="171" t="s">
        <v>630</v>
      </c>
    </row>
    <row r="18" spans="1:4">
      <c r="A18" s="170">
        <v>17</v>
      </c>
      <c r="B18" s="171" t="s">
        <v>49</v>
      </c>
      <c r="C18" s="171" t="s">
        <v>631</v>
      </c>
      <c r="D18" s="171" t="s">
        <v>632</v>
      </c>
    </row>
    <row r="19" spans="1:4">
      <c r="A19" s="170">
        <v>18</v>
      </c>
      <c r="B19" s="171" t="s">
        <v>633</v>
      </c>
      <c r="C19" s="171" t="s">
        <v>634</v>
      </c>
      <c r="D19" s="171" t="s">
        <v>635</v>
      </c>
    </row>
    <row r="20" spans="1:4">
      <c r="A20" s="170">
        <v>19</v>
      </c>
      <c r="B20" s="171" t="s">
        <v>51</v>
      </c>
      <c r="C20" s="171" t="s">
        <v>636</v>
      </c>
      <c r="D20" s="171" t="s">
        <v>637</v>
      </c>
    </row>
    <row r="21" spans="1:4">
      <c r="A21" s="170">
        <v>20</v>
      </c>
      <c r="B21" s="171" t="s">
        <v>52</v>
      </c>
      <c r="C21" s="171" t="s">
        <v>638</v>
      </c>
      <c r="D21" s="171" t="s">
        <v>639</v>
      </c>
    </row>
    <row r="22" spans="1:4">
      <c r="A22" s="170">
        <v>21</v>
      </c>
      <c r="B22" s="171" t="s">
        <v>53</v>
      </c>
    </row>
    <row r="23" spans="1:4">
      <c r="A23" s="170">
        <v>22</v>
      </c>
      <c r="B23" s="171" t="s">
        <v>54</v>
      </c>
    </row>
    <row r="24" spans="1:4">
      <c r="A24" s="170">
        <v>23</v>
      </c>
      <c r="B24" s="171" t="s">
        <v>55</v>
      </c>
      <c r="C24" s="171" t="s">
        <v>640</v>
      </c>
      <c r="D24" s="171" t="s">
        <v>641</v>
      </c>
    </row>
    <row r="25" spans="1:4">
      <c r="A25" s="170">
        <v>24</v>
      </c>
      <c r="B25" s="171" t="s">
        <v>642</v>
      </c>
      <c r="C25" s="171" t="s">
        <v>643</v>
      </c>
      <c r="D25" s="171" t="s">
        <v>644</v>
      </c>
    </row>
    <row r="26" spans="1:4">
      <c r="A26" s="170">
        <v>25</v>
      </c>
      <c r="B26" s="171" t="s">
        <v>56</v>
      </c>
      <c r="C26" s="171" t="s">
        <v>645</v>
      </c>
      <c r="D26" s="171" t="s">
        <v>646</v>
      </c>
    </row>
    <row r="27" spans="1:4">
      <c r="A27" s="170">
        <v>26</v>
      </c>
      <c r="B27" s="171" t="s">
        <v>57</v>
      </c>
      <c r="C27" s="171" t="s">
        <v>647</v>
      </c>
      <c r="D27" s="171" t="s">
        <v>648</v>
      </c>
    </row>
    <row r="28" spans="1:4">
      <c r="A28" s="170">
        <v>27</v>
      </c>
      <c r="B28" s="171" t="s">
        <v>649</v>
      </c>
      <c r="C28" s="171" t="s">
        <v>650</v>
      </c>
      <c r="D28" s="171" t="s">
        <v>651</v>
      </c>
    </row>
    <row r="29" spans="1:4">
      <c r="A29" s="170">
        <v>28</v>
      </c>
      <c r="B29" s="171" t="s">
        <v>652</v>
      </c>
      <c r="C29" s="171" t="s">
        <v>653</v>
      </c>
      <c r="D29" s="171" t="s">
        <v>654</v>
      </c>
    </row>
    <row r="30" spans="1:4">
      <c r="A30" s="170">
        <v>29</v>
      </c>
      <c r="B30" s="171" t="s">
        <v>655</v>
      </c>
      <c r="C30" s="171" t="s">
        <v>656</v>
      </c>
      <c r="D30" s="171" t="s">
        <v>657</v>
      </c>
    </row>
    <row r="31" spans="1:4">
      <c r="A31" s="170">
        <v>30</v>
      </c>
      <c r="B31" s="171" t="s">
        <v>658</v>
      </c>
      <c r="C31" s="171" t="s">
        <v>659</v>
      </c>
      <c r="D31" s="171" t="s">
        <v>660</v>
      </c>
    </row>
    <row r="32" spans="1:4">
      <c r="A32" s="170">
        <v>31</v>
      </c>
      <c r="B32" s="171" t="s">
        <v>62</v>
      </c>
      <c r="C32" s="171" t="s">
        <v>661</v>
      </c>
      <c r="D32" s="171" t="s">
        <v>662</v>
      </c>
    </row>
    <row r="33" spans="1:4">
      <c r="A33" s="170">
        <v>32</v>
      </c>
      <c r="B33" s="171" t="s">
        <v>63</v>
      </c>
      <c r="C33" s="171" t="s">
        <v>663</v>
      </c>
      <c r="D33" s="171" t="s">
        <v>664</v>
      </c>
    </row>
    <row r="34" spans="1:4">
      <c r="A34" s="170">
        <v>33</v>
      </c>
      <c r="B34" s="171" t="s">
        <v>665</v>
      </c>
      <c r="C34" s="171" t="s">
        <v>666</v>
      </c>
      <c r="D34" s="171" t="s">
        <v>667</v>
      </c>
    </row>
    <row r="35" spans="1:4">
      <c r="A35" s="170">
        <v>34</v>
      </c>
      <c r="B35" s="171" t="s">
        <v>65</v>
      </c>
      <c r="C35" s="171" t="s">
        <v>668</v>
      </c>
      <c r="D35" s="171" t="s">
        <v>669</v>
      </c>
    </row>
    <row r="36" spans="1:4">
      <c r="A36" s="170">
        <v>35</v>
      </c>
      <c r="B36" s="171" t="s">
        <v>66</v>
      </c>
      <c r="C36" s="171" t="s">
        <v>670</v>
      </c>
      <c r="D36" s="171" t="s">
        <v>671</v>
      </c>
    </row>
    <row r="37" spans="1:4">
      <c r="A37" s="170">
        <v>36</v>
      </c>
      <c r="B37" s="171" t="s">
        <v>67</v>
      </c>
      <c r="C37" s="171" t="s">
        <v>672</v>
      </c>
      <c r="D37" s="171" t="s">
        <v>673</v>
      </c>
    </row>
    <row r="38" spans="1:4">
      <c r="A38" s="170">
        <v>37</v>
      </c>
      <c r="B38" s="171" t="s">
        <v>674</v>
      </c>
      <c r="C38" s="171" t="s">
        <v>675</v>
      </c>
      <c r="D38" s="171" t="s">
        <v>676</v>
      </c>
    </row>
    <row r="39" spans="1:4">
      <c r="A39" s="170">
        <v>38</v>
      </c>
      <c r="B39" s="171" t="s">
        <v>677</v>
      </c>
      <c r="C39" s="171" t="s">
        <v>678</v>
      </c>
      <c r="D39" s="171" t="s">
        <v>679</v>
      </c>
    </row>
    <row r="40" spans="1:4">
      <c r="A40" s="170">
        <v>39</v>
      </c>
      <c r="B40" s="171" t="s">
        <v>70</v>
      </c>
      <c r="C40" s="171" t="s">
        <v>680</v>
      </c>
      <c r="D40" s="171" t="s">
        <v>681</v>
      </c>
    </row>
    <row r="41" spans="1:4">
      <c r="A41" s="170">
        <v>40</v>
      </c>
      <c r="B41" s="171" t="s">
        <v>682</v>
      </c>
    </row>
    <row r="42" spans="1:4">
      <c r="A42" s="170">
        <v>41</v>
      </c>
      <c r="B42" s="171" t="s">
        <v>71</v>
      </c>
      <c r="C42" s="171" t="s">
        <v>683</v>
      </c>
      <c r="D42" s="171" t="s">
        <v>684</v>
      </c>
    </row>
    <row r="43" spans="1:4">
      <c r="A43" s="170">
        <v>42</v>
      </c>
      <c r="B43" s="171" t="s">
        <v>72</v>
      </c>
      <c r="C43" s="171" t="s">
        <v>685</v>
      </c>
      <c r="D43" s="171" t="s">
        <v>686</v>
      </c>
    </row>
    <row r="44" spans="1:4">
      <c r="A44" s="170">
        <v>43</v>
      </c>
      <c r="B44" s="171" t="s">
        <v>73</v>
      </c>
      <c r="C44" s="171" t="s">
        <v>687</v>
      </c>
      <c r="D44" s="171" t="s">
        <v>688</v>
      </c>
    </row>
    <row r="45" spans="1:4">
      <c r="A45" s="170">
        <v>44</v>
      </c>
      <c r="B45" s="171" t="s">
        <v>74</v>
      </c>
      <c r="C45" s="171" t="s">
        <v>689</v>
      </c>
      <c r="D45" s="171" t="s">
        <v>690</v>
      </c>
    </row>
    <row r="46" spans="1:4">
      <c r="A46" s="170">
        <v>45</v>
      </c>
      <c r="B46" s="171" t="s">
        <v>75</v>
      </c>
      <c r="C46" s="171" t="s">
        <v>691</v>
      </c>
      <c r="D46" s="171" t="s">
        <v>692</v>
      </c>
    </row>
    <row r="47" spans="1:4">
      <c r="A47" s="170">
        <v>46</v>
      </c>
      <c r="B47" s="171" t="s">
        <v>693</v>
      </c>
      <c r="C47" s="171" t="s">
        <v>694</v>
      </c>
      <c r="D47" s="171" t="s">
        <v>695</v>
      </c>
    </row>
    <row r="48" spans="1:4">
      <c r="A48" s="170">
        <v>47</v>
      </c>
      <c r="B48" s="171" t="s">
        <v>77</v>
      </c>
      <c r="C48" s="171" t="s">
        <v>696</v>
      </c>
      <c r="D48" s="171" t="s">
        <v>697</v>
      </c>
    </row>
    <row r="49" spans="1:4">
      <c r="A49" s="170">
        <v>48</v>
      </c>
      <c r="B49" s="171" t="s">
        <v>698</v>
      </c>
    </row>
    <row r="50" spans="1:4">
      <c r="A50" s="170">
        <v>49</v>
      </c>
      <c r="B50" s="171" t="s">
        <v>699</v>
      </c>
      <c r="C50" s="171" t="s">
        <v>700</v>
      </c>
      <c r="D50" s="171" t="s">
        <v>701</v>
      </c>
    </row>
    <row r="51" spans="1:4">
      <c r="A51" s="170">
        <v>50</v>
      </c>
      <c r="B51" s="171" t="s">
        <v>702</v>
      </c>
      <c r="C51" s="171" t="s">
        <v>703</v>
      </c>
      <c r="D51" s="171" t="s">
        <v>704</v>
      </c>
    </row>
    <row r="52" spans="1:4">
      <c r="A52" s="170">
        <v>51</v>
      </c>
      <c r="B52" s="171" t="s">
        <v>705</v>
      </c>
      <c r="C52" s="171" t="s">
        <v>706</v>
      </c>
      <c r="D52" s="171" t="s">
        <v>707</v>
      </c>
    </row>
    <row r="53" spans="1:4">
      <c r="A53" s="170">
        <v>52</v>
      </c>
      <c r="B53" s="171" t="s">
        <v>708</v>
      </c>
      <c r="C53" s="171" t="s">
        <v>709</v>
      </c>
      <c r="D53" s="171" t="s">
        <v>710</v>
      </c>
    </row>
    <row r="54" spans="1:4">
      <c r="A54" s="170">
        <v>53</v>
      </c>
      <c r="B54" s="171" t="s">
        <v>711</v>
      </c>
      <c r="C54" s="171" t="s">
        <v>712</v>
      </c>
      <c r="D54" s="171" t="s">
        <v>713</v>
      </c>
    </row>
    <row r="55" spans="1:4">
      <c r="A55" s="170">
        <v>54</v>
      </c>
      <c r="B55" s="171" t="s">
        <v>84</v>
      </c>
      <c r="C55" s="171" t="s">
        <v>714</v>
      </c>
      <c r="D55" s="171" t="s">
        <v>715</v>
      </c>
    </row>
    <row r="56" spans="1:4">
      <c r="A56" s="170">
        <v>55</v>
      </c>
      <c r="B56" s="171" t="s">
        <v>85</v>
      </c>
      <c r="C56" s="171" t="s">
        <v>716</v>
      </c>
      <c r="D56" s="171" t="s">
        <v>717</v>
      </c>
    </row>
    <row r="57" spans="1:4">
      <c r="A57" s="170">
        <v>56</v>
      </c>
      <c r="B57" s="171" t="s">
        <v>718</v>
      </c>
      <c r="C57" s="171" t="s">
        <v>719</v>
      </c>
      <c r="D57" s="171" t="s">
        <v>720</v>
      </c>
    </row>
    <row r="58" spans="1:4">
      <c r="A58" s="170">
        <v>57</v>
      </c>
      <c r="B58" s="171" t="s">
        <v>87</v>
      </c>
      <c r="C58" s="171" t="s">
        <v>721</v>
      </c>
      <c r="D58" s="171" t="s">
        <v>722</v>
      </c>
    </row>
    <row r="59" spans="1:4">
      <c r="A59" s="170">
        <v>58</v>
      </c>
      <c r="B59" s="171" t="s">
        <v>88</v>
      </c>
      <c r="C59" s="171" t="s">
        <v>723</v>
      </c>
      <c r="D59" s="171" t="s">
        <v>724</v>
      </c>
    </row>
    <row r="60" spans="1:4">
      <c r="A60" s="170">
        <v>59</v>
      </c>
      <c r="B60" s="171" t="s">
        <v>725</v>
      </c>
      <c r="C60" s="171" t="s">
        <v>726</v>
      </c>
      <c r="D60" s="171" t="s">
        <v>727</v>
      </c>
    </row>
    <row r="61" spans="1:4">
      <c r="A61" s="170">
        <v>60</v>
      </c>
      <c r="B61" s="171" t="s">
        <v>728</v>
      </c>
      <c r="C61" s="171" t="s">
        <v>729</v>
      </c>
      <c r="D61" s="171" t="s">
        <v>730</v>
      </c>
    </row>
    <row r="62" spans="1:4">
      <c r="A62" s="170">
        <v>61</v>
      </c>
      <c r="B62" s="171" t="s">
        <v>731</v>
      </c>
      <c r="C62" s="171" t="s">
        <v>732</v>
      </c>
      <c r="D62" s="171" t="s">
        <v>733</v>
      </c>
    </row>
    <row r="63" spans="1:4">
      <c r="A63" s="170">
        <v>62</v>
      </c>
      <c r="B63" s="171" t="s">
        <v>734</v>
      </c>
      <c r="C63" s="171" t="s">
        <v>735</v>
      </c>
      <c r="D63" s="171" t="s">
        <v>736</v>
      </c>
    </row>
    <row r="64" spans="1:4">
      <c r="A64" s="170">
        <v>63</v>
      </c>
      <c r="B64" s="171" t="s">
        <v>737</v>
      </c>
      <c r="C64" s="171" t="s">
        <v>738</v>
      </c>
      <c r="D64" s="171" t="s">
        <v>739</v>
      </c>
    </row>
    <row r="65" spans="1:4">
      <c r="A65" s="170">
        <v>64</v>
      </c>
      <c r="B65" s="171" t="s">
        <v>740</v>
      </c>
      <c r="C65" s="171" t="s">
        <v>741</v>
      </c>
      <c r="D65" s="171" t="s">
        <v>742</v>
      </c>
    </row>
    <row r="66" spans="1:4">
      <c r="A66" s="170">
        <v>65</v>
      </c>
      <c r="B66" s="171" t="s">
        <v>743</v>
      </c>
      <c r="C66" s="171" t="s">
        <v>744</v>
      </c>
      <c r="D66" s="171" t="s">
        <v>745</v>
      </c>
    </row>
    <row r="67" spans="1:4">
      <c r="A67" s="170">
        <v>66</v>
      </c>
      <c r="B67" s="171" t="s">
        <v>746</v>
      </c>
      <c r="C67" s="171" t="s">
        <v>747</v>
      </c>
      <c r="D67" s="171" t="s">
        <v>748</v>
      </c>
    </row>
    <row r="68" spans="1:4">
      <c r="A68" s="170">
        <v>67</v>
      </c>
      <c r="B68" s="171" t="s">
        <v>749</v>
      </c>
      <c r="C68" s="171" t="s">
        <v>750</v>
      </c>
      <c r="D68" s="171" t="s">
        <v>751</v>
      </c>
    </row>
    <row r="69" spans="1:4">
      <c r="A69" s="170">
        <v>68</v>
      </c>
      <c r="B69" s="171" t="s">
        <v>752</v>
      </c>
      <c r="C69" s="171" t="s">
        <v>753</v>
      </c>
      <c r="D69" s="171" t="s">
        <v>754</v>
      </c>
    </row>
    <row r="70" spans="1:4">
      <c r="A70" s="170">
        <v>69</v>
      </c>
      <c r="B70" s="171" t="s">
        <v>755</v>
      </c>
      <c r="C70" s="171" t="s">
        <v>756</v>
      </c>
      <c r="D70" s="171" t="s">
        <v>757</v>
      </c>
    </row>
    <row r="71" spans="1:4">
      <c r="A71" s="170">
        <v>70</v>
      </c>
      <c r="B71" s="171" t="s">
        <v>758</v>
      </c>
      <c r="C71" s="171" t="s">
        <v>759</v>
      </c>
      <c r="D71" s="171" t="s">
        <v>760</v>
      </c>
    </row>
    <row r="72" spans="1:4">
      <c r="A72" s="170">
        <v>71</v>
      </c>
      <c r="B72" s="171" t="s">
        <v>761</v>
      </c>
      <c r="C72" s="171" t="s">
        <v>762</v>
      </c>
      <c r="D72" s="171" t="s">
        <v>763</v>
      </c>
    </row>
    <row r="73" spans="1:4">
      <c r="A73" s="170">
        <v>72</v>
      </c>
      <c r="B73" s="171" t="s">
        <v>764</v>
      </c>
      <c r="C73" s="171" t="s">
        <v>765</v>
      </c>
      <c r="D73" s="171" t="s">
        <v>766</v>
      </c>
    </row>
    <row r="74" spans="1:4">
      <c r="A74" s="170">
        <v>73</v>
      </c>
      <c r="B74" s="171" t="s">
        <v>103</v>
      </c>
      <c r="C74" s="171" t="s">
        <v>767</v>
      </c>
      <c r="D74" s="171" t="s">
        <v>768</v>
      </c>
    </row>
    <row r="75" spans="1:4">
      <c r="A75" s="170">
        <v>74</v>
      </c>
      <c r="B75" s="171" t="s">
        <v>104</v>
      </c>
      <c r="C75" s="171" t="s">
        <v>769</v>
      </c>
      <c r="D75" s="171" t="s">
        <v>770</v>
      </c>
    </row>
    <row r="76" spans="1:4">
      <c r="A76" s="170">
        <v>75</v>
      </c>
      <c r="B76" s="171" t="s">
        <v>105</v>
      </c>
      <c r="C76" s="171" t="s">
        <v>771</v>
      </c>
      <c r="D76" s="171" t="s">
        <v>772</v>
      </c>
    </row>
    <row r="77" spans="1:4">
      <c r="A77" s="170">
        <v>76</v>
      </c>
      <c r="B77" s="171" t="s">
        <v>773</v>
      </c>
      <c r="C77" s="171" t="s">
        <v>774</v>
      </c>
      <c r="D77" s="171" t="s">
        <v>775</v>
      </c>
    </row>
    <row r="78" spans="1:4">
      <c r="A78" s="170">
        <v>77</v>
      </c>
      <c r="B78" s="171" t="s">
        <v>776</v>
      </c>
      <c r="C78" s="171" t="s">
        <v>777</v>
      </c>
      <c r="D78" s="171" t="s">
        <v>778</v>
      </c>
    </row>
    <row r="79" spans="1:4">
      <c r="A79" s="170">
        <v>78</v>
      </c>
      <c r="B79" s="171" t="s">
        <v>779</v>
      </c>
      <c r="C79" s="171" t="s">
        <v>780</v>
      </c>
      <c r="D79" s="171" t="s">
        <v>781</v>
      </c>
    </row>
    <row r="80" spans="1:4">
      <c r="A80" s="173">
        <v>79</v>
      </c>
      <c r="B80" s="171" t="s">
        <v>782</v>
      </c>
    </row>
    <row r="81" spans="1:4">
      <c r="A81" s="170">
        <v>80</v>
      </c>
      <c r="B81" s="171" t="s">
        <v>783</v>
      </c>
      <c r="C81" s="171" t="s">
        <v>784</v>
      </c>
      <c r="D81" s="171" t="s">
        <v>785</v>
      </c>
    </row>
    <row r="82" spans="1:4">
      <c r="A82" s="170">
        <v>81</v>
      </c>
      <c r="B82" s="171" t="s">
        <v>786</v>
      </c>
      <c r="C82" s="171" t="s">
        <v>787</v>
      </c>
      <c r="D82" s="171" t="s">
        <v>788</v>
      </c>
    </row>
    <row r="83" spans="1:4">
      <c r="A83" s="170">
        <v>82</v>
      </c>
      <c r="B83" s="171" t="s">
        <v>789</v>
      </c>
      <c r="C83" s="171" t="s">
        <v>790</v>
      </c>
      <c r="D83" s="171" t="s">
        <v>791</v>
      </c>
    </row>
    <row r="84" spans="1:4">
      <c r="A84" s="170">
        <v>83</v>
      </c>
      <c r="B84" s="171" t="s">
        <v>111</v>
      </c>
      <c r="C84" s="171" t="s">
        <v>792</v>
      </c>
      <c r="D84" s="171" t="s">
        <v>793</v>
      </c>
    </row>
    <row r="85" spans="1:4">
      <c r="A85" s="170">
        <v>84</v>
      </c>
      <c r="B85" s="171" t="s">
        <v>794</v>
      </c>
      <c r="C85" s="171" t="s">
        <v>795</v>
      </c>
      <c r="D85" s="171" t="s">
        <v>796</v>
      </c>
    </row>
    <row r="86" spans="1:4">
      <c r="A86" s="170">
        <v>85</v>
      </c>
      <c r="B86" s="171" t="s">
        <v>113</v>
      </c>
      <c r="C86" s="171" t="s">
        <v>797</v>
      </c>
      <c r="D86" s="171" t="s">
        <v>798</v>
      </c>
    </row>
    <row r="87" spans="1:4">
      <c r="A87" s="170">
        <v>86</v>
      </c>
      <c r="B87" s="171" t="s">
        <v>799</v>
      </c>
      <c r="C87" s="171" t="s">
        <v>800</v>
      </c>
      <c r="D87" s="171" t="s">
        <v>801</v>
      </c>
    </row>
    <row r="88" spans="1:4">
      <c r="A88" s="170">
        <v>87</v>
      </c>
      <c r="B88" s="171" t="s">
        <v>802</v>
      </c>
      <c r="C88" s="171" t="s">
        <v>803</v>
      </c>
      <c r="D88" s="171" t="s">
        <v>804</v>
      </c>
    </row>
    <row r="89" spans="1:4">
      <c r="A89" s="170">
        <v>88</v>
      </c>
      <c r="B89" s="171" t="s">
        <v>805</v>
      </c>
      <c r="C89" s="171" t="s">
        <v>806</v>
      </c>
      <c r="D89" s="171" t="s">
        <v>807</v>
      </c>
    </row>
    <row r="90" spans="1:4">
      <c r="A90" s="173">
        <v>89</v>
      </c>
      <c r="B90" s="171" t="s">
        <v>117</v>
      </c>
    </row>
    <row r="91" spans="1:4">
      <c r="A91" s="170">
        <v>90</v>
      </c>
      <c r="B91" s="171" t="s">
        <v>808</v>
      </c>
      <c r="C91" s="171" t="s">
        <v>809</v>
      </c>
      <c r="D91" s="171" t="s">
        <v>810</v>
      </c>
    </row>
    <row r="92" spans="1:4">
      <c r="A92" s="170">
        <v>91</v>
      </c>
      <c r="B92" s="171" t="s">
        <v>118</v>
      </c>
      <c r="C92" s="171" t="s">
        <v>811</v>
      </c>
      <c r="D92" s="171" t="s">
        <v>812</v>
      </c>
    </row>
    <row r="93" spans="1:4">
      <c r="A93" s="170">
        <v>92</v>
      </c>
      <c r="B93" s="171" t="s">
        <v>813</v>
      </c>
      <c r="C93" s="171" t="s">
        <v>814</v>
      </c>
      <c r="D93" s="171" t="s">
        <v>815</v>
      </c>
    </row>
    <row r="94" spans="1:4">
      <c r="A94" s="170">
        <v>93</v>
      </c>
      <c r="B94" s="171" t="s">
        <v>120</v>
      </c>
      <c r="C94" s="171" t="s">
        <v>816</v>
      </c>
      <c r="D94" s="171" t="s">
        <v>817</v>
      </c>
    </row>
    <row r="95" spans="1:4">
      <c r="A95" s="170">
        <v>94</v>
      </c>
      <c r="B95" s="171" t="s">
        <v>121</v>
      </c>
      <c r="C95" s="171" t="s">
        <v>818</v>
      </c>
      <c r="D95" s="171" t="s">
        <v>819</v>
      </c>
    </row>
    <row r="96" spans="1:4">
      <c r="A96" s="170">
        <v>95</v>
      </c>
      <c r="B96" s="171" t="s">
        <v>122</v>
      </c>
      <c r="C96" s="171" t="s">
        <v>820</v>
      </c>
      <c r="D96" s="171" t="s">
        <v>821</v>
      </c>
    </row>
    <row r="97" spans="1:4">
      <c r="A97" s="170">
        <v>96</v>
      </c>
      <c r="B97" s="171" t="s">
        <v>822</v>
      </c>
      <c r="C97" s="171" t="s">
        <v>823</v>
      </c>
      <c r="D97" s="171" t="s">
        <v>824</v>
      </c>
    </row>
    <row r="98" spans="1:4">
      <c r="A98" s="170">
        <v>97</v>
      </c>
      <c r="B98" s="171" t="s">
        <v>825</v>
      </c>
      <c r="C98" s="171" t="s">
        <v>826</v>
      </c>
      <c r="D98" s="171" t="s">
        <v>827</v>
      </c>
    </row>
    <row r="99" spans="1:4">
      <c r="A99" s="170">
        <v>98</v>
      </c>
      <c r="B99" s="171" t="s">
        <v>828</v>
      </c>
      <c r="C99" s="171" t="s">
        <v>829</v>
      </c>
      <c r="D99" s="171" t="s">
        <v>830</v>
      </c>
    </row>
    <row r="100" spans="1:4">
      <c r="A100" s="170">
        <v>99</v>
      </c>
      <c r="B100" s="171" t="s">
        <v>831</v>
      </c>
      <c r="C100" s="171" t="s">
        <v>832</v>
      </c>
      <c r="D100" s="171" t="s">
        <v>833</v>
      </c>
    </row>
    <row r="101" spans="1:4">
      <c r="A101" s="173">
        <v>100</v>
      </c>
      <c r="B101" s="171" t="s">
        <v>834</v>
      </c>
      <c r="C101" s="171" t="s">
        <v>835</v>
      </c>
      <c r="D101" s="171" t="s">
        <v>836</v>
      </c>
    </row>
    <row r="102" spans="1:4">
      <c r="A102" s="170">
        <v>101</v>
      </c>
      <c r="B102" s="171" t="s">
        <v>837</v>
      </c>
      <c r="C102" s="171" t="s">
        <v>838</v>
      </c>
    </row>
    <row r="103" spans="1:4">
      <c r="A103" s="170">
        <v>102</v>
      </c>
      <c r="B103" s="171" t="s">
        <v>839</v>
      </c>
      <c r="C103" s="171" t="s">
        <v>840</v>
      </c>
      <c r="D103" s="171" t="s">
        <v>841</v>
      </c>
    </row>
    <row r="104" spans="1:4">
      <c r="A104" s="170">
        <v>103</v>
      </c>
      <c r="B104" s="171" t="s">
        <v>128</v>
      </c>
      <c r="C104" s="171" t="s">
        <v>842</v>
      </c>
      <c r="D104" s="171" t="s">
        <v>843</v>
      </c>
    </row>
    <row r="105" spans="1:4">
      <c r="A105" s="170">
        <v>104</v>
      </c>
      <c r="B105" s="171" t="s">
        <v>129</v>
      </c>
      <c r="C105" s="171" t="s">
        <v>844</v>
      </c>
      <c r="D105" s="171" t="s">
        <v>845</v>
      </c>
    </row>
    <row r="106" spans="1:4">
      <c r="A106" s="170">
        <v>105</v>
      </c>
      <c r="B106" s="171" t="s">
        <v>846</v>
      </c>
      <c r="C106" s="171" t="s">
        <v>847</v>
      </c>
      <c r="D106" s="171" t="s">
        <v>848</v>
      </c>
    </row>
    <row r="107" spans="1:4">
      <c r="A107" s="170">
        <v>106</v>
      </c>
      <c r="B107" s="171" t="s">
        <v>849</v>
      </c>
      <c r="C107" s="171" t="s">
        <v>850</v>
      </c>
      <c r="D107" s="171" t="s">
        <v>851</v>
      </c>
    </row>
    <row r="108" spans="1:4">
      <c r="A108" s="170">
        <v>107</v>
      </c>
      <c r="B108" s="171" t="s">
        <v>852</v>
      </c>
      <c r="C108" s="171" t="s">
        <v>726</v>
      </c>
      <c r="D108" s="171" t="s">
        <v>853</v>
      </c>
    </row>
    <row r="109" spans="1:4">
      <c r="A109" s="170">
        <v>108</v>
      </c>
      <c r="B109" s="171" t="s">
        <v>854</v>
      </c>
      <c r="C109" s="171" t="s">
        <v>721</v>
      </c>
      <c r="D109" s="171" t="s">
        <v>855</v>
      </c>
    </row>
    <row r="110" spans="1:4">
      <c r="A110" s="170">
        <v>109</v>
      </c>
      <c r="B110" s="171" t="s">
        <v>856</v>
      </c>
      <c r="C110" s="171" t="s">
        <v>857</v>
      </c>
      <c r="D110" s="171" t="s">
        <v>858</v>
      </c>
    </row>
    <row r="112" spans="1:4">
      <c r="B112" s="172" t="s">
        <v>859</v>
      </c>
    </row>
    <row r="113" spans="1:4">
      <c r="A113" s="170">
        <v>1</v>
      </c>
      <c r="B113" s="171" t="s">
        <v>860</v>
      </c>
      <c r="C113" s="171" t="s">
        <v>861</v>
      </c>
      <c r="D113" s="171" t="s">
        <v>862</v>
      </c>
    </row>
    <row r="114" spans="1:4">
      <c r="A114" s="170">
        <v>2</v>
      </c>
      <c r="B114" s="171" t="s">
        <v>863</v>
      </c>
      <c r="C114" s="171" t="s">
        <v>864</v>
      </c>
      <c r="D114" s="171" t="s">
        <v>865</v>
      </c>
    </row>
    <row r="115" spans="1:4">
      <c r="A115" s="170">
        <v>3</v>
      </c>
      <c r="B115" s="171" t="s">
        <v>866</v>
      </c>
      <c r="C115" s="171" t="s">
        <v>867</v>
      </c>
      <c r="D115" s="171" t="s">
        <v>868</v>
      </c>
    </row>
    <row r="116" spans="1:4">
      <c r="A116" s="170">
        <v>4</v>
      </c>
      <c r="B116" s="171" t="s">
        <v>869</v>
      </c>
      <c r="C116" s="171" t="s">
        <v>870</v>
      </c>
      <c r="D116" s="171" t="s">
        <v>871</v>
      </c>
    </row>
    <row r="117" spans="1:4">
      <c r="A117" s="170">
        <v>5</v>
      </c>
      <c r="B117" s="171" t="s">
        <v>872</v>
      </c>
      <c r="C117" s="171" t="s">
        <v>873</v>
      </c>
      <c r="D117" s="171" t="s">
        <v>874</v>
      </c>
    </row>
    <row r="118" spans="1:4">
      <c r="A118" s="170">
        <v>6</v>
      </c>
      <c r="B118" s="171" t="s">
        <v>875</v>
      </c>
      <c r="C118" s="171" t="s">
        <v>876</v>
      </c>
      <c r="D118" s="171" t="s">
        <v>877</v>
      </c>
    </row>
    <row r="119" spans="1:4">
      <c r="A119" s="170">
        <v>7</v>
      </c>
      <c r="B119" s="171" t="s">
        <v>142</v>
      </c>
      <c r="C119" s="171" t="s">
        <v>878</v>
      </c>
      <c r="D119" s="171" t="s">
        <v>879</v>
      </c>
    </row>
    <row r="120" spans="1:4">
      <c r="A120" s="170">
        <v>8</v>
      </c>
      <c r="B120" s="171" t="s">
        <v>880</v>
      </c>
      <c r="C120" s="171" t="s">
        <v>881</v>
      </c>
      <c r="D120" s="171" t="s">
        <v>882</v>
      </c>
    </row>
    <row r="121" spans="1:4">
      <c r="A121" s="170">
        <v>9</v>
      </c>
      <c r="B121" s="171" t="s">
        <v>883</v>
      </c>
      <c r="C121" s="171" t="s">
        <v>884</v>
      </c>
      <c r="D121" s="171" t="s">
        <v>885</v>
      </c>
    </row>
    <row r="122" spans="1:4">
      <c r="A122" s="170">
        <v>10</v>
      </c>
      <c r="B122" s="171" t="s">
        <v>886</v>
      </c>
      <c r="C122" s="171" t="s">
        <v>887</v>
      </c>
      <c r="D122" s="171" t="s">
        <v>888</v>
      </c>
    </row>
    <row r="123" spans="1:4">
      <c r="A123" s="170">
        <v>11</v>
      </c>
      <c r="B123" s="171" t="s">
        <v>889</v>
      </c>
      <c r="C123" s="171" t="s">
        <v>890</v>
      </c>
      <c r="D123" s="171" t="s">
        <v>891</v>
      </c>
    </row>
    <row r="124" spans="1:4">
      <c r="A124" s="170">
        <v>12</v>
      </c>
      <c r="B124" s="171" t="s">
        <v>892</v>
      </c>
      <c r="C124" s="171" t="s">
        <v>893</v>
      </c>
      <c r="D124" s="171" t="s">
        <v>894</v>
      </c>
    </row>
    <row r="125" spans="1:4">
      <c r="A125" s="170">
        <v>13</v>
      </c>
      <c r="B125" s="171" t="s">
        <v>895</v>
      </c>
      <c r="C125" s="171" t="s">
        <v>896</v>
      </c>
      <c r="D125" s="171" t="s">
        <v>897</v>
      </c>
    </row>
    <row r="126" spans="1:4">
      <c r="A126" s="170">
        <v>14</v>
      </c>
      <c r="B126" s="171" t="s">
        <v>898</v>
      </c>
      <c r="C126" s="171" t="s">
        <v>899</v>
      </c>
      <c r="D126" s="171" t="s">
        <v>900</v>
      </c>
    </row>
    <row r="127" spans="1:4">
      <c r="A127" s="170">
        <v>15</v>
      </c>
      <c r="B127" s="171" t="s">
        <v>901</v>
      </c>
      <c r="C127" s="171" t="s">
        <v>902</v>
      </c>
      <c r="D127" s="171" t="s">
        <v>903</v>
      </c>
    </row>
    <row r="128" spans="1:4">
      <c r="A128" s="170">
        <v>16</v>
      </c>
      <c r="B128" s="171" t="s">
        <v>904</v>
      </c>
      <c r="C128" s="171" t="s">
        <v>905</v>
      </c>
      <c r="D128" s="171" t="s">
        <v>906</v>
      </c>
    </row>
    <row r="129" spans="1:4">
      <c r="A129" s="170">
        <v>17</v>
      </c>
      <c r="B129" s="171" t="s">
        <v>907</v>
      </c>
      <c r="C129" s="171" t="s">
        <v>908</v>
      </c>
      <c r="D129" s="171" t="s">
        <v>909</v>
      </c>
    </row>
    <row r="130" spans="1:4">
      <c r="A130" s="170">
        <v>18</v>
      </c>
      <c r="B130" s="171" t="s">
        <v>910</v>
      </c>
      <c r="C130" s="171" t="s">
        <v>911</v>
      </c>
      <c r="D130" s="171" t="s">
        <v>912</v>
      </c>
    </row>
    <row r="131" spans="1:4">
      <c r="A131" s="170">
        <v>19</v>
      </c>
      <c r="B131" s="171" t="s">
        <v>154</v>
      </c>
      <c r="C131" s="171" t="s">
        <v>913</v>
      </c>
      <c r="D131" s="171" t="s">
        <v>914</v>
      </c>
    </row>
    <row r="132" spans="1:4">
      <c r="A132" s="170">
        <v>20</v>
      </c>
      <c r="B132" s="171" t="s">
        <v>155</v>
      </c>
      <c r="C132" s="171" t="s">
        <v>915</v>
      </c>
      <c r="D132" s="171" t="s">
        <v>916</v>
      </c>
    </row>
    <row r="133" spans="1:4">
      <c r="A133" s="170">
        <v>21</v>
      </c>
      <c r="B133" s="171" t="s">
        <v>917</v>
      </c>
      <c r="C133" s="171" t="s">
        <v>918</v>
      </c>
      <c r="D133" s="171" t="s">
        <v>919</v>
      </c>
    </row>
    <row r="134" spans="1:4">
      <c r="A134" s="170">
        <v>22</v>
      </c>
      <c r="B134" s="171" t="s">
        <v>920</v>
      </c>
      <c r="C134" s="171" t="s">
        <v>921</v>
      </c>
      <c r="D134" s="171" t="s">
        <v>922</v>
      </c>
    </row>
    <row r="135" spans="1:4">
      <c r="A135" s="170">
        <v>23</v>
      </c>
      <c r="B135" s="171" t="s">
        <v>923</v>
      </c>
      <c r="C135" s="171" t="s">
        <v>924</v>
      </c>
      <c r="D135" s="171" t="s">
        <v>925</v>
      </c>
    </row>
    <row r="136" spans="1:4">
      <c r="A136" s="170">
        <v>24</v>
      </c>
      <c r="B136" s="171" t="s">
        <v>926</v>
      </c>
      <c r="C136" s="171" t="s">
        <v>927</v>
      </c>
      <c r="D136" s="171" t="s">
        <v>928</v>
      </c>
    </row>
    <row r="137" spans="1:4">
      <c r="A137" s="170">
        <v>25</v>
      </c>
      <c r="B137" s="171" t="s">
        <v>929</v>
      </c>
      <c r="C137" s="171" t="s">
        <v>930</v>
      </c>
      <c r="D137" s="171" t="s">
        <v>930</v>
      </c>
    </row>
    <row r="138" spans="1:4">
      <c r="A138" s="170">
        <v>26</v>
      </c>
      <c r="B138" s="171" t="s">
        <v>926</v>
      </c>
      <c r="C138" s="171" t="s">
        <v>931</v>
      </c>
      <c r="D138" s="171" t="s">
        <v>932</v>
      </c>
    </row>
    <row r="139" spans="1:4">
      <c r="A139" s="170">
        <v>27</v>
      </c>
      <c r="B139" s="171" t="s">
        <v>933</v>
      </c>
      <c r="C139" s="171" t="s">
        <v>934</v>
      </c>
      <c r="D139" s="171" t="s">
        <v>934</v>
      </c>
    </row>
    <row r="140" spans="1:4">
      <c r="A140" s="170">
        <v>28</v>
      </c>
      <c r="B140" s="171" t="s">
        <v>926</v>
      </c>
      <c r="C140" s="171" t="s">
        <v>927</v>
      </c>
      <c r="D140" s="171" t="s">
        <v>935</v>
      </c>
    </row>
    <row r="141" spans="1:4">
      <c r="A141" s="170">
        <v>29</v>
      </c>
      <c r="B141" s="171" t="s">
        <v>936</v>
      </c>
      <c r="C141" s="171" t="s">
        <v>937</v>
      </c>
      <c r="D141" s="171" t="s">
        <v>938</v>
      </c>
    </row>
    <row r="142" spans="1:4">
      <c r="A142" s="170">
        <v>30</v>
      </c>
      <c r="B142" s="171" t="s">
        <v>926</v>
      </c>
      <c r="C142" s="171" t="s">
        <v>927</v>
      </c>
      <c r="D142" s="171" t="s">
        <v>939</v>
      </c>
    </row>
    <row r="143" spans="1:4">
      <c r="A143" s="170">
        <v>31</v>
      </c>
      <c r="B143" s="171" t="s">
        <v>940</v>
      </c>
      <c r="C143" s="171" t="s">
        <v>941</v>
      </c>
      <c r="D143" s="171" t="s">
        <v>942</v>
      </c>
    </row>
    <row r="144" spans="1:4">
      <c r="A144" s="170">
        <v>32</v>
      </c>
      <c r="B144" s="171" t="s">
        <v>943</v>
      </c>
      <c r="C144" s="171" t="s">
        <v>944</v>
      </c>
      <c r="D144" s="171" t="s">
        <v>945</v>
      </c>
    </row>
    <row r="145" spans="1:4">
      <c r="A145" s="170">
        <v>33</v>
      </c>
      <c r="B145" s="171" t="s">
        <v>946</v>
      </c>
      <c r="C145" s="171" t="s">
        <v>947</v>
      </c>
      <c r="D145" s="171" t="s">
        <v>948</v>
      </c>
    </row>
    <row r="146" spans="1:4">
      <c r="A146" s="170">
        <v>34</v>
      </c>
      <c r="B146" s="171" t="s">
        <v>949</v>
      </c>
      <c r="C146" s="171" t="s">
        <v>950</v>
      </c>
      <c r="D146" s="171" t="s">
        <v>951</v>
      </c>
    </row>
    <row r="147" spans="1:4">
      <c r="A147" s="170">
        <v>35</v>
      </c>
      <c r="B147" s="171" t="s">
        <v>952</v>
      </c>
      <c r="C147" s="171" t="s">
        <v>953</v>
      </c>
      <c r="D147" s="171" t="s">
        <v>954</v>
      </c>
    </row>
    <row r="148" spans="1:4">
      <c r="A148" s="170">
        <v>36</v>
      </c>
      <c r="B148" s="171" t="s">
        <v>955</v>
      </c>
      <c r="C148" s="171" t="s">
        <v>956</v>
      </c>
      <c r="D148" s="171" t="s">
        <v>957</v>
      </c>
    </row>
    <row r="149" spans="1:4">
      <c r="A149" s="170">
        <v>37</v>
      </c>
      <c r="B149" s="171" t="s">
        <v>952</v>
      </c>
      <c r="C149" s="171" t="s">
        <v>927</v>
      </c>
      <c r="D149" s="171" t="s">
        <v>958</v>
      </c>
    </row>
    <row r="150" spans="1:4">
      <c r="A150" s="170">
        <v>38</v>
      </c>
      <c r="B150" s="171" t="s">
        <v>959</v>
      </c>
      <c r="C150" s="171" t="s">
        <v>960</v>
      </c>
      <c r="D150" s="171" t="s">
        <v>961</v>
      </c>
    </row>
    <row r="151" spans="1:4">
      <c r="A151" s="170">
        <v>39</v>
      </c>
      <c r="B151" s="171" t="s">
        <v>952</v>
      </c>
      <c r="C151" s="171" t="s">
        <v>953</v>
      </c>
      <c r="D151" s="171" t="s">
        <v>962</v>
      </c>
    </row>
    <row r="152" spans="1:4">
      <c r="A152" s="170">
        <v>40</v>
      </c>
      <c r="B152" s="171" t="s">
        <v>963</v>
      </c>
      <c r="C152" s="171" t="s">
        <v>964</v>
      </c>
      <c r="D152" s="171" t="s">
        <v>965</v>
      </c>
    </row>
    <row r="153" spans="1:4">
      <c r="A153" s="170">
        <v>41</v>
      </c>
      <c r="B153" s="171" t="s">
        <v>966</v>
      </c>
      <c r="C153" s="171" t="s">
        <v>967</v>
      </c>
      <c r="D153" s="171" t="s">
        <v>968</v>
      </c>
    </row>
    <row r="154" spans="1:4">
      <c r="A154" s="170">
        <v>42</v>
      </c>
      <c r="B154" s="171" t="s">
        <v>943</v>
      </c>
      <c r="C154" s="171" t="s">
        <v>944</v>
      </c>
      <c r="D154" s="171" t="s">
        <v>969</v>
      </c>
    </row>
    <row r="155" spans="1:4">
      <c r="A155" s="170">
        <v>43</v>
      </c>
      <c r="B155" s="171" t="s">
        <v>970</v>
      </c>
      <c r="C155" s="171" t="s">
        <v>971</v>
      </c>
      <c r="D155" s="171" t="s">
        <v>972</v>
      </c>
    </row>
    <row r="156" spans="1:4">
      <c r="A156" s="170">
        <v>44</v>
      </c>
      <c r="B156" s="171" t="s">
        <v>973</v>
      </c>
      <c r="C156" s="171" t="s">
        <v>974</v>
      </c>
      <c r="D156" s="171" t="s">
        <v>975</v>
      </c>
    </row>
    <row r="157" spans="1:4">
      <c r="A157" s="170">
        <v>45</v>
      </c>
      <c r="B157" s="171" t="s">
        <v>976</v>
      </c>
      <c r="C157" s="171" t="s">
        <v>977</v>
      </c>
      <c r="D157" s="171" t="s">
        <v>978</v>
      </c>
    </row>
    <row r="158" spans="1:4">
      <c r="A158" s="170">
        <v>46</v>
      </c>
      <c r="B158" s="171" t="s">
        <v>176</v>
      </c>
      <c r="C158" s="171" t="s">
        <v>979</v>
      </c>
      <c r="D158" s="171" t="s">
        <v>980</v>
      </c>
    </row>
    <row r="159" spans="1:4">
      <c r="A159" s="170">
        <v>47</v>
      </c>
      <c r="B159" s="171" t="s">
        <v>981</v>
      </c>
      <c r="C159" s="171" t="s">
        <v>982</v>
      </c>
      <c r="D159" s="171" t="s">
        <v>983</v>
      </c>
    </row>
    <row r="161" spans="1:4">
      <c r="B161" s="172" t="s">
        <v>984</v>
      </c>
    </row>
    <row r="162" spans="1:4">
      <c r="A162" s="170">
        <v>1</v>
      </c>
      <c r="B162" s="171" t="s">
        <v>860</v>
      </c>
      <c r="C162" s="171" t="s">
        <v>861</v>
      </c>
      <c r="D162" s="171" t="s">
        <v>862</v>
      </c>
    </row>
    <row r="163" spans="1:4">
      <c r="A163" s="170">
        <v>2</v>
      </c>
      <c r="B163" s="171" t="s">
        <v>863</v>
      </c>
      <c r="C163" s="171" t="s">
        <v>864</v>
      </c>
      <c r="D163" s="171" t="s">
        <v>865</v>
      </c>
    </row>
    <row r="164" spans="1:4">
      <c r="A164" s="170">
        <v>3</v>
      </c>
      <c r="B164" s="171" t="s">
        <v>866</v>
      </c>
      <c r="C164" s="171" t="s">
        <v>867</v>
      </c>
      <c r="D164" s="171" t="s">
        <v>868</v>
      </c>
    </row>
    <row r="165" spans="1:4">
      <c r="A165" s="170">
        <v>4</v>
      </c>
      <c r="B165" s="171" t="s">
        <v>985</v>
      </c>
      <c r="C165" s="171" t="s">
        <v>986</v>
      </c>
      <c r="D165" s="171" t="s">
        <v>987</v>
      </c>
    </row>
    <row r="166" spans="1:4">
      <c r="A166" s="170">
        <v>5</v>
      </c>
      <c r="B166" s="171" t="s">
        <v>988</v>
      </c>
      <c r="C166" s="171" t="s">
        <v>989</v>
      </c>
      <c r="D166" s="171" t="s">
        <v>990</v>
      </c>
    </row>
    <row r="167" spans="1:4">
      <c r="A167" s="170">
        <v>6</v>
      </c>
      <c r="B167" s="171" t="s">
        <v>991</v>
      </c>
      <c r="C167" s="171" t="s">
        <v>992</v>
      </c>
      <c r="D167" s="171" t="s">
        <v>993</v>
      </c>
    </row>
    <row r="168" spans="1:4">
      <c r="A168" s="170">
        <v>7</v>
      </c>
      <c r="B168" s="171" t="s">
        <v>994</v>
      </c>
      <c r="C168" s="171" t="s">
        <v>995</v>
      </c>
      <c r="D168" s="171" t="s">
        <v>996</v>
      </c>
    </row>
    <row r="169" spans="1:4">
      <c r="A169" s="170">
        <v>8</v>
      </c>
      <c r="B169" s="171" t="s">
        <v>997</v>
      </c>
      <c r="C169" s="171" t="s">
        <v>998</v>
      </c>
      <c r="D169" s="171" t="s">
        <v>999</v>
      </c>
    </row>
    <row r="170" spans="1:4">
      <c r="A170" s="170">
        <v>9</v>
      </c>
      <c r="B170" s="171" t="s">
        <v>1000</v>
      </c>
      <c r="C170" s="171" t="s">
        <v>1001</v>
      </c>
      <c r="D170" s="171" t="s">
        <v>1002</v>
      </c>
    </row>
    <row r="171" spans="1:4">
      <c r="A171" s="170">
        <v>10</v>
      </c>
      <c r="B171" s="171" t="s">
        <v>1003</v>
      </c>
      <c r="C171" s="171" t="s">
        <v>1004</v>
      </c>
      <c r="D171" s="171" t="s">
        <v>1005</v>
      </c>
    </row>
    <row r="172" spans="1:4">
      <c r="A172" s="170">
        <v>11</v>
      </c>
      <c r="B172" s="171" t="s">
        <v>1006</v>
      </c>
      <c r="C172" s="171" t="s">
        <v>1007</v>
      </c>
      <c r="D172" s="171" t="s">
        <v>1008</v>
      </c>
    </row>
    <row r="173" spans="1:4">
      <c r="A173" s="170">
        <v>12</v>
      </c>
      <c r="B173" s="171" t="s">
        <v>1009</v>
      </c>
      <c r="C173" s="171" t="s">
        <v>1010</v>
      </c>
      <c r="D173" s="171" t="s">
        <v>1011</v>
      </c>
    </row>
    <row r="174" spans="1:4">
      <c r="A174" s="170">
        <v>13</v>
      </c>
      <c r="B174" s="171" t="s">
        <v>1012</v>
      </c>
      <c r="C174" s="171" t="s">
        <v>1013</v>
      </c>
      <c r="D174" s="171" t="s">
        <v>1014</v>
      </c>
    </row>
    <row r="175" spans="1:4">
      <c r="A175" s="170">
        <v>14</v>
      </c>
      <c r="B175" s="171" t="s">
        <v>880</v>
      </c>
      <c r="C175" s="171" t="s">
        <v>881</v>
      </c>
      <c r="D175" s="171" t="s">
        <v>1015</v>
      </c>
    </row>
    <row r="176" spans="1:4">
      <c r="A176" s="170">
        <v>15</v>
      </c>
      <c r="B176" s="171" t="s">
        <v>189</v>
      </c>
      <c r="C176" s="171" t="s">
        <v>1016</v>
      </c>
      <c r="D176" s="171" t="s">
        <v>1017</v>
      </c>
    </row>
    <row r="177" spans="1:4">
      <c r="A177" s="170">
        <v>16</v>
      </c>
      <c r="B177" s="171" t="s">
        <v>917</v>
      </c>
      <c r="C177" s="171" t="s">
        <v>918</v>
      </c>
      <c r="D177" s="171" t="s">
        <v>1018</v>
      </c>
    </row>
    <row r="178" spans="1:4">
      <c r="A178" s="170">
        <v>17</v>
      </c>
      <c r="B178" s="171" t="s">
        <v>1019</v>
      </c>
      <c r="C178" s="171" t="s">
        <v>1020</v>
      </c>
      <c r="D178" s="171" t="s">
        <v>1021</v>
      </c>
    </row>
    <row r="179" spans="1:4">
      <c r="A179" s="170">
        <v>18</v>
      </c>
      <c r="B179" s="171" t="s">
        <v>1022</v>
      </c>
      <c r="C179" s="171" t="s">
        <v>1023</v>
      </c>
      <c r="D179" s="171" t="s">
        <v>1024</v>
      </c>
    </row>
    <row r="180" spans="1:4">
      <c r="A180" s="170">
        <v>19</v>
      </c>
      <c r="B180" s="171" t="s">
        <v>926</v>
      </c>
      <c r="C180" s="171" t="s">
        <v>927</v>
      </c>
      <c r="D180" s="171" t="s">
        <v>1025</v>
      </c>
    </row>
    <row r="181" spans="1:4">
      <c r="A181" s="170">
        <v>20</v>
      </c>
      <c r="B181" s="171" t="s">
        <v>1026</v>
      </c>
      <c r="C181" s="171" t="s">
        <v>1027</v>
      </c>
      <c r="D181" s="171" t="s">
        <v>1027</v>
      </c>
    </row>
    <row r="182" spans="1:4">
      <c r="A182" s="170">
        <v>21</v>
      </c>
      <c r="B182" s="171" t="s">
        <v>926</v>
      </c>
      <c r="C182" s="171" t="s">
        <v>931</v>
      </c>
      <c r="D182" s="171" t="s">
        <v>1028</v>
      </c>
    </row>
    <row r="183" spans="1:4">
      <c r="A183" s="170">
        <v>22</v>
      </c>
      <c r="B183" s="171" t="s">
        <v>1029</v>
      </c>
      <c r="C183" s="171" t="s">
        <v>1030</v>
      </c>
      <c r="D183" s="171" t="s">
        <v>1030</v>
      </c>
    </row>
    <row r="184" spans="1:4">
      <c r="A184" s="170">
        <v>23</v>
      </c>
      <c r="B184" s="171" t="s">
        <v>926</v>
      </c>
      <c r="C184" s="171" t="s">
        <v>927</v>
      </c>
      <c r="D184" s="171" t="s">
        <v>1031</v>
      </c>
    </row>
    <row r="185" spans="1:4">
      <c r="A185" s="170">
        <v>24</v>
      </c>
      <c r="B185" s="171" t="s">
        <v>1032</v>
      </c>
      <c r="C185" s="171" t="s">
        <v>1033</v>
      </c>
      <c r="D185" s="171" t="s">
        <v>1034</v>
      </c>
    </row>
    <row r="186" spans="1:4">
      <c r="A186" s="170">
        <v>25</v>
      </c>
      <c r="B186" s="171" t="s">
        <v>926</v>
      </c>
      <c r="C186" s="171" t="s">
        <v>927</v>
      </c>
      <c r="D186" s="171" t="s">
        <v>1035</v>
      </c>
    </row>
    <row r="187" spans="1:4">
      <c r="A187" s="170">
        <v>26</v>
      </c>
      <c r="B187" s="171" t="s">
        <v>1036</v>
      </c>
      <c r="C187" s="171" t="s">
        <v>1037</v>
      </c>
      <c r="D187" s="171" t="s">
        <v>1038</v>
      </c>
    </row>
    <row r="188" spans="1:4">
      <c r="A188" s="170">
        <v>27</v>
      </c>
      <c r="B188" s="171" t="s">
        <v>943</v>
      </c>
      <c r="C188" s="171" t="s">
        <v>944</v>
      </c>
      <c r="D188" s="171" t="s">
        <v>1039</v>
      </c>
    </row>
    <row r="189" spans="1:4">
      <c r="A189" s="170">
        <v>28</v>
      </c>
      <c r="B189" s="171" t="s">
        <v>1040</v>
      </c>
      <c r="C189" s="171" t="s">
        <v>1041</v>
      </c>
      <c r="D189" s="171" t="s">
        <v>1042</v>
      </c>
    </row>
    <row r="190" spans="1:4">
      <c r="A190" s="170">
        <v>29</v>
      </c>
      <c r="B190" s="171" t="s">
        <v>1043</v>
      </c>
      <c r="C190" s="171" t="s">
        <v>1044</v>
      </c>
      <c r="D190" s="171" t="s">
        <v>1044</v>
      </c>
    </row>
    <row r="191" spans="1:4">
      <c r="A191" s="170">
        <v>30</v>
      </c>
      <c r="B191" s="171" t="s">
        <v>952</v>
      </c>
      <c r="C191" s="171" t="s">
        <v>953</v>
      </c>
      <c r="D191" s="171" t="s">
        <v>1045</v>
      </c>
    </row>
    <row r="192" spans="1:4">
      <c r="A192" s="170">
        <v>31</v>
      </c>
      <c r="B192" s="171" t="s">
        <v>1046</v>
      </c>
      <c r="C192" s="171" t="s">
        <v>934</v>
      </c>
      <c r="D192" s="171" t="s">
        <v>934</v>
      </c>
    </row>
    <row r="193" spans="1:4">
      <c r="A193" s="170">
        <v>32</v>
      </c>
      <c r="B193" s="171" t="s">
        <v>952</v>
      </c>
      <c r="C193" s="171" t="s">
        <v>953</v>
      </c>
      <c r="D193" s="171" t="s">
        <v>1047</v>
      </c>
    </row>
    <row r="194" spans="1:4">
      <c r="A194" s="170">
        <v>33</v>
      </c>
      <c r="B194" s="171" t="s">
        <v>1048</v>
      </c>
      <c r="C194" s="171" t="s">
        <v>1049</v>
      </c>
      <c r="D194" s="171" t="s">
        <v>1050</v>
      </c>
    </row>
    <row r="195" spans="1:4">
      <c r="A195" s="170">
        <v>34</v>
      </c>
      <c r="B195" s="171" t="s">
        <v>952</v>
      </c>
      <c r="C195" s="171" t="s">
        <v>944</v>
      </c>
      <c r="D195" s="171" t="s">
        <v>1051</v>
      </c>
    </row>
    <row r="196" spans="1:4">
      <c r="A196" s="170">
        <v>35</v>
      </c>
      <c r="B196" s="171" t="s">
        <v>1052</v>
      </c>
      <c r="C196" s="171" t="s">
        <v>1053</v>
      </c>
      <c r="D196" s="171" t="s">
        <v>1054</v>
      </c>
    </row>
    <row r="197" spans="1:4">
      <c r="A197" s="170">
        <v>36</v>
      </c>
      <c r="B197" s="171" t="s">
        <v>1055</v>
      </c>
      <c r="C197" s="171" t="s">
        <v>1056</v>
      </c>
      <c r="D197" s="171" t="s">
        <v>1057</v>
      </c>
    </row>
    <row r="198" spans="1:4">
      <c r="A198" s="170">
        <v>37</v>
      </c>
      <c r="B198" s="171" t="s">
        <v>943</v>
      </c>
      <c r="C198" s="171" t="s">
        <v>944</v>
      </c>
      <c r="D198" s="171" t="s">
        <v>1058</v>
      </c>
    </row>
    <row r="199" spans="1:4">
      <c r="A199" s="170">
        <v>38</v>
      </c>
      <c r="B199" s="171" t="s">
        <v>1059</v>
      </c>
      <c r="C199" s="171" t="s">
        <v>1060</v>
      </c>
      <c r="D199" s="171" t="s">
        <v>1061</v>
      </c>
    </row>
    <row r="200" spans="1:4">
      <c r="A200" s="170">
        <v>39</v>
      </c>
      <c r="B200" s="171" t="s">
        <v>1062</v>
      </c>
      <c r="C200" s="171" t="s">
        <v>1063</v>
      </c>
      <c r="D200" s="171" t="s">
        <v>1064</v>
      </c>
    </row>
    <row r="201" spans="1:4">
      <c r="A201" s="170">
        <v>40</v>
      </c>
      <c r="B201" s="171" t="s">
        <v>976</v>
      </c>
      <c r="C201" s="171" t="s">
        <v>977</v>
      </c>
      <c r="D201" s="171" t="s">
        <v>978</v>
      </c>
    </row>
    <row r="202" spans="1:4">
      <c r="A202" s="170">
        <v>41</v>
      </c>
      <c r="B202" s="171" t="s">
        <v>204</v>
      </c>
      <c r="C202" s="171" t="s">
        <v>1065</v>
      </c>
      <c r="D202" s="171" t="s">
        <v>980</v>
      </c>
    </row>
    <row r="203" spans="1:4">
      <c r="A203" s="170">
        <v>42</v>
      </c>
      <c r="B203" s="171" t="s">
        <v>1066</v>
      </c>
      <c r="C203" s="171" t="s">
        <v>1067</v>
      </c>
      <c r="D203" s="171" t="s">
        <v>1068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unka37">
    <tabColor rgb="FF73B04E"/>
  </sheetPr>
  <dimension ref="A1:J190"/>
  <sheetViews>
    <sheetView workbookViewId="0"/>
  </sheetViews>
  <sheetFormatPr defaultColWidth="38.88671875" defaultRowHeight="12"/>
  <cols>
    <col min="1" max="1" width="38.88671875" style="53"/>
    <col min="2" max="2" width="36.77734375" style="53" customWidth="1"/>
    <col min="3" max="3" width="42.44140625" style="53" customWidth="1"/>
    <col min="4" max="4" width="16.21875" style="53" customWidth="1"/>
    <col min="5" max="5" width="27.77734375" style="53" customWidth="1"/>
    <col min="6" max="6" width="20.44140625" style="53" customWidth="1"/>
    <col min="7" max="7" width="24.77734375" style="53" customWidth="1"/>
    <col min="8" max="8" width="17.88671875" style="53" customWidth="1"/>
    <col min="9" max="16384" width="38.88671875" style="53"/>
  </cols>
  <sheetData>
    <row r="1" spans="1:8">
      <c r="A1" s="53" t="s">
        <v>33</v>
      </c>
      <c r="B1" s="53" t="s">
        <v>594</v>
      </c>
      <c r="C1" s="53" t="s">
        <v>595</v>
      </c>
      <c r="D1" s="53" t="s">
        <v>1069</v>
      </c>
      <c r="E1" s="53" t="s">
        <v>1070</v>
      </c>
      <c r="F1" s="53" t="s">
        <v>1071</v>
      </c>
      <c r="G1" s="53" t="s">
        <v>1072</v>
      </c>
      <c r="H1" s="53" t="s">
        <v>1069</v>
      </c>
    </row>
    <row r="2" spans="1:8">
      <c r="A2" s="53" t="s">
        <v>34</v>
      </c>
      <c r="B2" s="53" t="s">
        <v>597</v>
      </c>
      <c r="C2" s="53" t="s">
        <v>598</v>
      </c>
      <c r="D2" s="53" t="s">
        <v>1073</v>
      </c>
      <c r="E2" s="53" t="s">
        <v>473</v>
      </c>
      <c r="F2" s="53" t="s">
        <v>1074</v>
      </c>
      <c r="G2" s="53" t="s">
        <v>1075</v>
      </c>
      <c r="H2" s="53" t="s">
        <v>1073</v>
      </c>
    </row>
    <row r="3" spans="1:8">
      <c r="A3" s="53" t="s">
        <v>1076</v>
      </c>
      <c r="B3" s="53" t="s">
        <v>599</v>
      </c>
      <c r="C3" s="53" t="s">
        <v>600</v>
      </c>
      <c r="D3" s="53" t="s">
        <v>1077</v>
      </c>
      <c r="E3" s="53" t="s">
        <v>474</v>
      </c>
      <c r="F3" s="53" t="s">
        <v>1078</v>
      </c>
      <c r="G3" s="53" t="s">
        <v>1079</v>
      </c>
      <c r="H3" s="53" t="s">
        <v>1077</v>
      </c>
    </row>
    <row r="4" spans="1:8">
      <c r="A4" s="53" t="s">
        <v>1080</v>
      </c>
      <c r="B4" s="53" t="s">
        <v>602</v>
      </c>
      <c r="C4" s="53" t="s">
        <v>603</v>
      </c>
      <c r="E4" s="53" t="s">
        <v>475</v>
      </c>
      <c r="F4" s="53" t="s">
        <v>1081</v>
      </c>
      <c r="G4" s="53" t="s">
        <v>1082</v>
      </c>
    </row>
    <row r="5" spans="1:8">
      <c r="A5" s="53" t="s">
        <v>1083</v>
      </c>
      <c r="B5" s="53" t="s">
        <v>604</v>
      </c>
      <c r="C5" s="53" t="s">
        <v>605</v>
      </c>
      <c r="E5" s="53" t="s">
        <v>3</v>
      </c>
      <c r="F5" s="53" t="s">
        <v>1084</v>
      </c>
      <c r="G5" s="53" t="s">
        <v>1085</v>
      </c>
    </row>
    <row r="6" spans="1:8">
      <c r="A6" s="53" t="s">
        <v>1086</v>
      </c>
      <c r="B6" s="53" t="s">
        <v>606</v>
      </c>
      <c r="C6" s="53" t="s">
        <v>607</v>
      </c>
    </row>
    <row r="7" spans="1:8">
      <c r="A7" s="53" t="s">
        <v>1087</v>
      </c>
      <c r="B7" s="53" t="s">
        <v>608</v>
      </c>
      <c r="C7" s="53" t="s">
        <v>609</v>
      </c>
      <c r="E7" s="53" t="s">
        <v>476</v>
      </c>
      <c r="F7" s="53" t="s">
        <v>1088</v>
      </c>
      <c r="G7" s="53" t="s">
        <v>1089</v>
      </c>
    </row>
    <row r="8" spans="1:8">
      <c r="A8" s="53" t="s">
        <v>1090</v>
      </c>
      <c r="B8" s="53" t="s">
        <v>610</v>
      </c>
      <c r="C8" s="53" t="s">
        <v>611</v>
      </c>
      <c r="E8" s="53" t="s">
        <v>477</v>
      </c>
      <c r="F8" s="53" t="s">
        <v>1091</v>
      </c>
      <c r="G8" s="53" t="s">
        <v>22</v>
      </c>
    </row>
    <row r="9" spans="1:8">
      <c r="A9" s="53" t="s">
        <v>1092</v>
      </c>
      <c r="B9" s="53" t="s">
        <v>612</v>
      </c>
      <c r="C9" s="53" t="s">
        <v>613</v>
      </c>
      <c r="E9" s="53" t="e">
        <f>#REF!&amp;",  "&amp;#REF!</f>
        <v>#REF!</v>
      </c>
      <c r="F9" s="53" t="e">
        <f>#REF!&amp;", "&amp;TEXT(#REF!,"n.hh.éééé")</f>
        <v>#REF!</v>
      </c>
      <c r="G9" s="53" t="e">
        <f>#REF!&amp;", "&amp;TEXT(#REF!,"n.hh.éééé")</f>
        <v>#REF!</v>
      </c>
    </row>
    <row r="10" spans="1:8">
      <c r="A10" s="53" t="s">
        <v>42</v>
      </c>
      <c r="B10" s="53" t="s">
        <v>615</v>
      </c>
      <c r="C10" s="53" t="s">
        <v>616</v>
      </c>
      <c r="E10" s="53" t="s">
        <v>1093</v>
      </c>
      <c r="F10" s="53" t="s">
        <v>1094</v>
      </c>
      <c r="G10" s="53" t="s">
        <v>1095</v>
      </c>
    </row>
    <row r="11" spans="1:8">
      <c r="A11" s="53" t="s">
        <v>1096</v>
      </c>
      <c r="B11" s="53" t="s">
        <v>617</v>
      </c>
      <c r="C11" s="53" t="s">
        <v>618</v>
      </c>
      <c r="E11" s="53" t="e">
        <f>E10&amp;" "&amp;#REF!&amp;",  "&amp;#REF!</f>
        <v>#REF!</v>
      </c>
      <c r="F11" s="53" t="e">
        <f>F10&amp;" "&amp;#REF!&amp;", "&amp;TEXT(#REF!,"n.hh.éééé")</f>
        <v>#REF!</v>
      </c>
      <c r="G11" s="53" t="e">
        <f>G10&amp;" "&amp;#REF!&amp;", "&amp;TEXT(#REF!,"n.hh.éééé")</f>
        <v>#REF!</v>
      </c>
    </row>
    <row r="12" spans="1:8">
      <c r="A12" s="53" t="s">
        <v>1097</v>
      </c>
      <c r="B12" s="53" t="s">
        <v>619</v>
      </c>
      <c r="C12" s="53" t="s">
        <v>620</v>
      </c>
      <c r="E12" s="53" t="e">
        <f>E1&amp;": "&amp;#REF!</f>
        <v>#REF!</v>
      </c>
      <c r="F12" s="53" t="e">
        <f>F1&amp;": "&amp;#REF!</f>
        <v>#REF!</v>
      </c>
      <c r="G12" s="53" t="e">
        <f>G1&amp;": "&amp;#REF!</f>
        <v>#REF!</v>
      </c>
    </row>
    <row r="13" spans="1:8">
      <c r="A13" s="53" t="s">
        <v>1098</v>
      </c>
      <c r="B13" s="53" t="s">
        <v>621</v>
      </c>
      <c r="C13" s="53" t="s">
        <v>622</v>
      </c>
      <c r="E13" s="53" t="e">
        <f>E2&amp;": "&amp;#REF!</f>
        <v>#REF!</v>
      </c>
      <c r="F13" s="53" t="e">
        <f>F2&amp;": "&amp;#REF!</f>
        <v>#REF!</v>
      </c>
      <c r="G13" s="53" t="e">
        <f>G2&amp;": "&amp;#REF!</f>
        <v>#REF!</v>
      </c>
    </row>
    <row r="14" spans="1:8">
      <c r="A14" s="53" t="s">
        <v>1099</v>
      </c>
      <c r="B14" s="53" t="s">
        <v>623</v>
      </c>
      <c r="C14" s="53" t="s">
        <v>624</v>
      </c>
      <c r="E14" s="174" t="s">
        <v>1100</v>
      </c>
      <c r="F14" s="175" t="s">
        <v>1101</v>
      </c>
      <c r="G14" s="53" t="s">
        <v>1102</v>
      </c>
    </row>
    <row r="15" spans="1:8">
      <c r="A15" s="53" t="s">
        <v>1103</v>
      </c>
      <c r="B15" s="53" t="s">
        <v>626</v>
      </c>
      <c r="C15" s="53" t="s">
        <v>627</v>
      </c>
      <c r="E15" s="53" t="s">
        <v>1104</v>
      </c>
      <c r="F15" s="176" t="s">
        <v>1105</v>
      </c>
      <c r="G15" s="53" t="s">
        <v>1106</v>
      </c>
    </row>
    <row r="16" spans="1:8">
      <c r="A16" s="53" t="s">
        <v>1107</v>
      </c>
      <c r="B16" s="53" t="s">
        <v>629</v>
      </c>
      <c r="C16" s="53" t="s">
        <v>630</v>
      </c>
      <c r="E16" s="53" t="s">
        <v>539</v>
      </c>
      <c r="F16" s="53" t="s">
        <v>1108</v>
      </c>
      <c r="G16" s="177" t="s">
        <v>1109</v>
      </c>
    </row>
    <row r="17" spans="1:10">
      <c r="A17" s="53" t="s">
        <v>1110</v>
      </c>
      <c r="B17" s="53" t="s">
        <v>631</v>
      </c>
      <c r="C17" s="53" t="s">
        <v>632</v>
      </c>
      <c r="E17" s="53" t="s">
        <v>1111</v>
      </c>
      <c r="F17" s="53" t="s">
        <v>1112</v>
      </c>
      <c r="G17" s="53" t="s">
        <v>1113</v>
      </c>
    </row>
    <row r="18" spans="1:10">
      <c r="A18" s="53" t="s">
        <v>1114</v>
      </c>
      <c r="B18" s="53" t="s">
        <v>1115</v>
      </c>
      <c r="C18" s="53" t="s">
        <v>1116</v>
      </c>
      <c r="E18" s="53" t="s">
        <v>549</v>
      </c>
      <c r="F18" s="53" t="s">
        <v>1117</v>
      </c>
      <c r="G18" s="53" t="s">
        <v>1118</v>
      </c>
    </row>
    <row r="19" spans="1:10">
      <c r="A19" s="53" t="s">
        <v>1119</v>
      </c>
      <c r="B19" s="53" t="s">
        <v>636</v>
      </c>
      <c r="C19" s="53" t="s">
        <v>637</v>
      </c>
      <c r="E19" s="53" t="s">
        <v>31</v>
      </c>
      <c r="F19" s="53" t="s">
        <v>1120</v>
      </c>
      <c r="G19" s="53" t="s">
        <v>1121</v>
      </c>
    </row>
    <row r="20" spans="1:10">
      <c r="A20" s="53" t="s">
        <v>1122</v>
      </c>
      <c r="B20" s="53" t="s">
        <v>638</v>
      </c>
      <c r="C20" s="53" t="s">
        <v>639</v>
      </c>
      <c r="E20" s="53" t="s">
        <v>1123</v>
      </c>
      <c r="F20" s="53" t="s">
        <v>1124</v>
      </c>
      <c r="G20" s="53" t="s">
        <v>1125</v>
      </c>
    </row>
    <row r="21" spans="1:10">
      <c r="A21" s="53" t="s">
        <v>1126</v>
      </c>
      <c r="B21" s="53" t="s">
        <v>640</v>
      </c>
      <c r="C21" s="53" t="s">
        <v>641</v>
      </c>
      <c r="E21" s="53" t="s">
        <v>32</v>
      </c>
      <c r="F21" s="53" t="s">
        <v>1127</v>
      </c>
      <c r="G21" s="53" t="s">
        <v>1128</v>
      </c>
    </row>
    <row r="22" spans="1:10" ht="12.75">
      <c r="A22" s="53" t="s">
        <v>1129</v>
      </c>
      <c r="B22" s="53" t="s">
        <v>643</v>
      </c>
      <c r="C22" s="53" t="s">
        <v>644</v>
      </c>
      <c r="E22" s="46" t="s">
        <v>490</v>
      </c>
      <c r="F22" s="46" t="s">
        <v>1130</v>
      </c>
      <c r="G22" s="46" t="s">
        <v>1131</v>
      </c>
    </row>
    <row r="23" spans="1:10">
      <c r="A23" s="53" t="s">
        <v>1132</v>
      </c>
      <c r="B23" s="53" t="s">
        <v>645</v>
      </c>
      <c r="C23" s="53" t="s">
        <v>646</v>
      </c>
      <c r="E23" s="53" t="s">
        <v>1133</v>
      </c>
      <c r="F23" s="53" t="s">
        <v>1134</v>
      </c>
      <c r="G23" s="23" t="s">
        <v>1135</v>
      </c>
    </row>
    <row r="24" spans="1:10">
      <c r="A24" s="53" t="s">
        <v>1136</v>
      </c>
      <c r="B24" s="53" t="s">
        <v>647</v>
      </c>
      <c r="C24" s="53" t="s">
        <v>648</v>
      </c>
      <c r="E24" s="53" t="s">
        <v>1137</v>
      </c>
      <c r="F24" s="53" t="s">
        <v>1138</v>
      </c>
      <c r="G24" s="23" t="s">
        <v>1139</v>
      </c>
      <c r="H24" s="178"/>
      <c r="I24" s="178"/>
      <c r="J24" s="178"/>
    </row>
    <row r="25" spans="1:10">
      <c r="A25" s="53" t="s">
        <v>1140</v>
      </c>
      <c r="B25" s="53" t="s">
        <v>650</v>
      </c>
      <c r="C25" s="53" t="s">
        <v>651</v>
      </c>
      <c r="E25" s="53" t="s">
        <v>1141</v>
      </c>
      <c r="F25" s="53" t="s">
        <v>1142</v>
      </c>
      <c r="G25" s="53" t="s">
        <v>1143</v>
      </c>
    </row>
    <row r="26" spans="1:10">
      <c r="A26" s="53" t="s">
        <v>1144</v>
      </c>
      <c r="B26" s="53" t="s">
        <v>653</v>
      </c>
      <c r="C26" s="53" t="s">
        <v>654</v>
      </c>
      <c r="E26" s="53" t="s">
        <v>1145</v>
      </c>
      <c r="F26" s="23" t="s">
        <v>1146</v>
      </c>
      <c r="G26" s="23" t="s">
        <v>1147</v>
      </c>
    </row>
    <row r="27" spans="1:10">
      <c r="A27" s="53" t="s">
        <v>1148</v>
      </c>
      <c r="B27" s="53" t="s">
        <v>1149</v>
      </c>
      <c r="C27" s="53" t="s">
        <v>1150</v>
      </c>
      <c r="F27" s="23"/>
      <c r="G27" s="23"/>
    </row>
    <row r="28" spans="1:10">
      <c r="A28" s="53" t="s">
        <v>1151</v>
      </c>
      <c r="B28" s="53" t="s">
        <v>1152</v>
      </c>
      <c r="C28" s="53" t="s">
        <v>1153</v>
      </c>
    </row>
    <row r="29" spans="1:10">
      <c r="A29" s="53" t="s">
        <v>1154</v>
      </c>
      <c r="B29" s="53" t="s">
        <v>661</v>
      </c>
      <c r="C29" s="53" t="s">
        <v>662</v>
      </c>
    </row>
    <row r="30" spans="1:10">
      <c r="A30" s="53" t="s">
        <v>1155</v>
      </c>
      <c r="B30" s="53" t="s">
        <v>663</v>
      </c>
      <c r="C30" s="53" t="s">
        <v>664</v>
      </c>
    </row>
    <row r="31" spans="1:10">
      <c r="A31" s="53" t="s">
        <v>1156</v>
      </c>
      <c r="B31" s="53" t="s">
        <v>666</v>
      </c>
      <c r="C31" s="53" t="s">
        <v>667</v>
      </c>
    </row>
    <row r="32" spans="1:10">
      <c r="A32" s="53" t="s">
        <v>1157</v>
      </c>
      <c r="B32" s="53" t="s">
        <v>668</v>
      </c>
      <c r="C32" s="53" t="s">
        <v>669</v>
      </c>
    </row>
    <row r="33" spans="1:5">
      <c r="A33" s="53" t="s">
        <v>1158</v>
      </c>
      <c r="B33" s="53" t="s">
        <v>670</v>
      </c>
      <c r="C33" s="53" t="s">
        <v>671</v>
      </c>
    </row>
    <row r="34" spans="1:5">
      <c r="A34" s="53" t="s">
        <v>1159</v>
      </c>
      <c r="B34" s="53" t="s">
        <v>672</v>
      </c>
      <c r="C34" s="53" t="s">
        <v>673</v>
      </c>
    </row>
    <row r="35" spans="1:5">
      <c r="A35" s="53" t="s">
        <v>1160</v>
      </c>
      <c r="B35" s="53" t="s">
        <v>1161</v>
      </c>
      <c r="C35" s="53" t="s">
        <v>1162</v>
      </c>
    </row>
    <row r="36" spans="1:5">
      <c r="A36" s="53" t="s">
        <v>1163</v>
      </c>
      <c r="B36" s="53" t="s">
        <v>678</v>
      </c>
      <c r="C36" s="53" t="s">
        <v>679</v>
      </c>
    </row>
    <row r="37" spans="1:5">
      <c r="A37" s="53" t="s">
        <v>1164</v>
      </c>
      <c r="B37" s="53" t="s">
        <v>680</v>
      </c>
      <c r="C37" s="53" t="s">
        <v>681</v>
      </c>
    </row>
    <row r="38" spans="1:5">
      <c r="A38" s="53" t="s">
        <v>1165</v>
      </c>
      <c r="B38" s="53" t="s">
        <v>683</v>
      </c>
      <c r="C38" s="53" t="s">
        <v>684</v>
      </c>
    </row>
    <row r="39" spans="1:5">
      <c r="A39" s="53" t="s">
        <v>1166</v>
      </c>
      <c r="B39" s="53" t="s">
        <v>685</v>
      </c>
      <c r="C39" s="53" t="s">
        <v>686</v>
      </c>
    </row>
    <row r="40" spans="1:5">
      <c r="A40" s="53" t="s">
        <v>1167</v>
      </c>
      <c r="B40" s="53" t="s">
        <v>687</v>
      </c>
      <c r="C40" s="53" t="s">
        <v>688</v>
      </c>
    </row>
    <row r="41" spans="1:5">
      <c r="A41" s="53" t="s">
        <v>1168</v>
      </c>
      <c r="B41" s="53" t="s">
        <v>689</v>
      </c>
      <c r="C41" s="53" t="s">
        <v>690</v>
      </c>
    </row>
    <row r="42" spans="1:5">
      <c r="A42" s="53" t="s">
        <v>1169</v>
      </c>
      <c r="B42" s="53" t="s">
        <v>691</v>
      </c>
      <c r="C42" s="53" t="s">
        <v>692</v>
      </c>
    </row>
    <row r="43" spans="1:5" ht="12.75">
      <c r="A43" s="53" t="s">
        <v>1170</v>
      </c>
      <c r="B43" s="53" t="s">
        <v>1171</v>
      </c>
      <c r="C43" s="53" t="s">
        <v>1172</v>
      </c>
      <c r="E43" s="179"/>
    </row>
    <row r="44" spans="1:5" ht="12.75">
      <c r="A44" s="53" t="s">
        <v>1173</v>
      </c>
      <c r="B44" s="53" t="s">
        <v>696</v>
      </c>
      <c r="C44" s="53" t="s">
        <v>697</v>
      </c>
      <c r="E44" s="179"/>
    </row>
    <row r="45" spans="1:5" ht="12.75">
      <c r="A45" s="53" t="s">
        <v>1174</v>
      </c>
      <c r="B45" s="53" t="s">
        <v>700</v>
      </c>
      <c r="C45" s="53" t="s">
        <v>701</v>
      </c>
      <c r="E45" s="179"/>
    </row>
    <row r="46" spans="1:5" ht="12.75">
      <c r="A46" s="53" t="s">
        <v>1175</v>
      </c>
      <c r="B46" s="53" t="s">
        <v>703</v>
      </c>
      <c r="C46" s="53" t="s">
        <v>704</v>
      </c>
      <c r="E46" s="179"/>
    </row>
    <row r="47" spans="1:5" ht="12.75">
      <c r="A47" s="53" t="s">
        <v>1176</v>
      </c>
      <c r="B47" s="53" t="s">
        <v>706</v>
      </c>
      <c r="C47" s="53" t="s">
        <v>707</v>
      </c>
      <c r="E47" s="179"/>
    </row>
    <row r="48" spans="1:5" ht="12.75">
      <c r="A48" s="53" t="s">
        <v>1177</v>
      </c>
      <c r="B48" s="53" t="s">
        <v>709</v>
      </c>
      <c r="C48" s="53" t="s">
        <v>710</v>
      </c>
      <c r="E48" s="179"/>
    </row>
    <row r="49" spans="1:5" ht="12.75">
      <c r="A49" s="53" t="s">
        <v>1178</v>
      </c>
      <c r="B49" s="53" t="s">
        <v>712</v>
      </c>
      <c r="C49" s="53" t="s">
        <v>713</v>
      </c>
      <c r="E49" s="179"/>
    </row>
    <row r="50" spans="1:5" ht="12.75">
      <c r="A50" s="53" t="s">
        <v>1179</v>
      </c>
      <c r="B50" s="53" t="s">
        <v>714</v>
      </c>
      <c r="C50" s="53" t="s">
        <v>715</v>
      </c>
      <c r="E50" s="179"/>
    </row>
    <row r="51" spans="1:5" ht="12.75">
      <c r="A51" s="53" t="s">
        <v>1180</v>
      </c>
      <c r="B51" s="53" t="s">
        <v>716</v>
      </c>
      <c r="C51" s="53" t="s">
        <v>717</v>
      </c>
      <c r="E51" s="179"/>
    </row>
    <row r="52" spans="1:5" ht="12.75">
      <c r="A52" s="53" t="s">
        <v>1181</v>
      </c>
      <c r="B52" s="53" t="s">
        <v>1182</v>
      </c>
      <c r="C52" s="53" t="s">
        <v>720</v>
      </c>
      <c r="E52" s="179"/>
    </row>
    <row r="53" spans="1:5" ht="12.75">
      <c r="A53" s="53" t="s">
        <v>1183</v>
      </c>
      <c r="B53" s="53" t="s">
        <v>721</v>
      </c>
      <c r="C53" s="53" t="s">
        <v>722</v>
      </c>
      <c r="E53" s="179"/>
    </row>
    <row r="54" spans="1:5" ht="12.75">
      <c r="A54" s="53" t="s">
        <v>1184</v>
      </c>
      <c r="B54" s="53" t="s">
        <v>723</v>
      </c>
      <c r="C54" s="53" t="s">
        <v>724</v>
      </c>
      <c r="E54" s="179"/>
    </row>
    <row r="55" spans="1:5">
      <c r="A55" s="53" t="s">
        <v>1185</v>
      </c>
      <c r="B55" s="53" t="s">
        <v>726</v>
      </c>
      <c r="C55" s="53" t="s">
        <v>727</v>
      </c>
    </row>
    <row r="56" spans="1:5">
      <c r="A56" s="53" t="s">
        <v>1186</v>
      </c>
      <c r="B56" s="53" t="s">
        <v>1187</v>
      </c>
      <c r="C56" s="53" t="s">
        <v>1188</v>
      </c>
    </row>
    <row r="57" spans="1:5">
      <c r="A57" s="53" t="s">
        <v>1189</v>
      </c>
      <c r="B57" s="53" t="s">
        <v>1190</v>
      </c>
      <c r="C57" s="53" t="s">
        <v>1191</v>
      </c>
    </row>
    <row r="58" spans="1:5">
      <c r="A58" s="53" t="s">
        <v>92</v>
      </c>
      <c r="B58" s="53" t="s">
        <v>735</v>
      </c>
      <c r="C58" s="53" t="s">
        <v>736</v>
      </c>
    </row>
    <row r="59" spans="1:5">
      <c r="A59" s="53" t="s">
        <v>93</v>
      </c>
      <c r="B59" s="53" t="s">
        <v>738</v>
      </c>
      <c r="C59" s="53" t="s">
        <v>1192</v>
      </c>
    </row>
    <row r="60" spans="1:5">
      <c r="A60" s="53" t="s">
        <v>94</v>
      </c>
      <c r="B60" s="53" t="s">
        <v>741</v>
      </c>
      <c r="C60" s="53" t="s">
        <v>742</v>
      </c>
    </row>
    <row r="61" spans="1:5">
      <c r="A61" s="53" t="s">
        <v>95</v>
      </c>
      <c r="B61" s="53" t="s">
        <v>744</v>
      </c>
      <c r="C61" s="53" t="s">
        <v>745</v>
      </c>
    </row>
    <row r="62" spans="1:5">
      <c r="A62" s="53" t="s">
        <v>96</v>
      </c>
      <c r="B62" s="53" t="s">
        <v>747</v>
      </c>
      <c r="C62" s="53" t="s">
        <v>748</v>
      </c>
    </row>
    <row r="63" spans="1:5">
      <c r="A63" s="53" t="s">
        <v>97</v>
      </c>
      <c r="B63" s="53" t="s">
        <v>750</v>
      </c>
      <c r="C63" s="53" t="s">
        <v>751</v>
      </c>
    </row>
    <row r="64" spans="1:5">
      <c r="A64" s="53" t="s">
        <v>98</v>
      </c>
      <c r="B64" s="53" t="s">
        <v>753</v>
      </c>
      <c r="C64" s="53" t="s">
        <v>754</v>
      </c>
    </row>
    <row r="65" spans="1:3">
      <c r="A65" s="180" t="s">
        <v>1193</v>
      </c>
      <c r="B65" s="53" t="s">
        <v>756</v>
      </c>
      <c r="C65" s="53" t="s">
        <v>757</v>
      </c>
    </row>
    <row r="66" spans="1:3">
      <c r="A66" s="180" t="s">
        <v>1194</v>
      </c>
      <c r="B66" s="53" t="s">
        <v>759</v>
      </c>
      <c r="C66" s="53" t="s">
        <v>760</v>
      </c>
    </row>
    <row r="67" spans="1:3">
      <c r="A67" s="53" t="s">
        <v>1195</v>
      </c>
      <c r="B67" s="53" t="s">
        <v>1196</v>
      </c>
      <c r="C67" s="53" t="s">
        <v>763</v>
      </c>
    </row>
    <row r="68" spans="1:3">
      <c r="A68" s="53" t="s">
        <v>1197</v>
      </c>
      <c r="B68" s="53" t="s">
        <v>1198</v>
      </c>
      <c r="C68" s="53" t="s">
        <v>1199</v>
      </c>
    </row>
    <row r="69" spans="1:3">
      <c r="A69" s="53" t="s">
        <v>1200</v>
      </c>
      <c r="B69" s="53" t="s">
        <v>767</v>
      </c>
      <c r="C69" s="53" t="s">
        <v>768</v>
      </c>
    </row>
    <row r="70" spans="1:3">
      <c r="A70" s="53" t="s">
        <v>1201</v>
      </c>
      <c r="B70" s="53" t="s">
        <v>769</v>
      </c>
      <c r="C70" s="53" t="s">
        <v>770</v>
      </c>
    </row>
    <row r="71" spans="1:3">
      <c r="A71" s="53" t="s">
        <v>1202</v>
      </c>
      <c r="B71" s="53" t="s">
        <v>771</v>
      </c>
      <c r="C71" s="53" t="s">
        <v>772</v>
      </c>
    </row>
    <row r="72" spans="1:3">
      <c r="A72" s="53" t="s">
        <v>1203</v>
      </c>
      <c r="B72" s="53" t="s">
        <v>1204</v>
      </c>
      <c r="C72" s="53" t="s">
        <v>1205</v>
      </c>
    </row>
    <row r="73" spans="1:3">
      <c r="A73" s="53" t="s">
        <v>1206</v>
      </c>
      <c r="B73" s="53" t="s">
        <v>1207</v>
      </c>
      <c r="C73" s="53" t="s">
        <v>1208</v>
      </c>
    </row>
    <row r="74" spans="1:3">
      <c r="A74" s="53" t="s">
        <v>1209</v>
      </c>
      <c r="B74" s="53" t="s">
        <v>780</v>
      </c>
      <c r="C74" s="53" t="s">
        <v>781</v>
      </c>
    </row>
    <row r="75" spans="1:3">
      <c r="A75" s="53" t="s">
        <v>1210</v>
      </c>
      <c r="B75" s="53" t="s">
        <v>784</v>
      </c>
      <c r="C75" s="53" t="s">
        <v>785</v>
      </c>
    </row>
    <row r="76" spans="1:3">
      <c r="A76" s="53" t="s">
        <v>1211</v>
      </c>
      <c r="B76" s="53" t="s">
        <v>787</v>
      </c>
      <c r="C76" s="53" t="s">
        <v>788</v>
      </c>
    </row>
    <row r="77" spans="1:3">
      <c r="A77" s="53" t="s">
        <v>1212</v>
      </c>
      <c r="B77" s="53" t="s">
        <v>1213</v>
      </c>
      <c r="C77" s="53" t="s">
        <v>1214</v>
      </c>
    </row>
    <row r="78" spans="1:3">
      <c r="A78" s="53" t="s">
        <v>1215</v>
      </c>
      <c r="B78" s="53" t="s">
        <v>792</v>
      </c>
      <c r="C78" s="53" t="s">
        <v>793</v>
      </c>
    </row>
    <row r="79" spans="1:3">
      <c r="A79" s="53" t="s">
        <v>1216</v>
      </c>
      <c r="B79" s="53" t="s">
        <v>795</v>
      </c>
      <c r="C79" s="53" t="s">
        <v>796</v>
      </c>
    </row>
    <row r="80" spans="1:3">
      <c r="A80" s="53" t="s">
        <v>1217</v>
      </c>
      <c r="B80" s="53" t="s">
        <v>797</v>
      </c>
      <c r="C80" s="53" t="s">
        <v>798</v>
      </c>
    </row>
    <row r="81" spans="1:3">
      <c r="A81" s="53" t="s">
        <v>1218</v>
      </c>
      <c r="B81" s="53" t="s">
        <v>800</v>
      </c>
      <c r="C81" s="53" t="s">
        <v>801</v>
      </c>
    </row>
    <row r="82" spans="1:3">
      <c r="A82" s="53" t="s">
        <v>1219</v>
      </c>
      <c r="B82" s="53" t="s">
        <v>803</v>
      </c>
      <c r="C82" s="53" t="s">
        <v>804</v>
      </c>
    </row>
    <row r="83" spans="1:3">
      <c r="A83" s="53" t="s">
        <v>1220</v>
      </c>
      <c r="B83" s="53" t="s">
        <v>806</v>
      </c>
      <c r="C83" s="53" t="s">
        <v>807</v>
      </c>
    </row>
    <row r="84" spans="1:3" ht="12" customHeight="1">
      <c r="A84" s="53" t="s">
        <v>1221</v>
      </c>
      <c r="B84" s="53" t="s">
        <v>809</v>
      </c>
      <c r="C84" s="53" t="s">
        <v>810</v>
      </c>
    </row>
    <row r="85" spans="1:3">
      <c r="A85" s="53" t="s">
        <v>1222</v>
      </c>
      <c r="B85" s="53" t="s">
        <v>811</v>
      </c>
      <c r="C85" s="53" t="s">
        <v>812</v>
      </c>
    </row>
    <row r="86" spans="1:3">
      <c r="A86" s="53" t="s">
        <v>1223</v>
      </c>
      <c r="B86" s="53" t="s">
        <v>1224</v>
      </c>
      <c r="C86" s="53" t="s">
        <v>1225</v>
      </c>
    </row>
    <row r="87" spans="1:3">
      <c r="A87" s="53" t="s">
        <v>1226</v>
      </c>
      <c r="B87" s="53" t="s">
        <v>816</v>
      </c>
      <c r="C87" s="53" t="s">
        <v>817</v>
      </c>
    </row>
    <row r="88" spans="1:3">
      <c r="A88" s="53" t="s">
        <v>121</v>
      </c>
      <c r="B88" s="53" t="s">
        <v>818</v>
      </c>
      <c r="C88" s="53" t="s">
        <v>1227</v>
      </c>
    </row>
    <row r="89" spans="1:3">
      <c r="A89" s="53" t="s">
        <v>1228</v>
      </c>
      <c r="B89" s="53" t="s">
        <v>820</v>
      </c>
      <c r="C89" s="53" t="s">
        <v>821</v>
      </c>
    </row>
    <row r="90" spans="1:3">
      <c r="A90" s="53" t="s">
        <v>1229</v>
      </c>
      <c r="B90" s="53" t="s">
        <v>823</v>
      </c>
      <c r="C90" s="53" t="s">
        <v>824</v>
      </c>
    </row>
    <row r="91" spans="1:3">
      <c r="A91" s="53" t="s">
        <v>1230</v>
      </c>
      <c r="B91" s="53" t="s">
        <v>826</v>
      </c>
      <c r="C91" s="53" t="s">
        <v>827</v>
      </c>
    </row>
    <row r="92" spans="1:3">
      <c r="A92" s="53" t="s">
        <v>1231</v>
      </c>
      <c r="B92" s="53" t="s">
        <v>829</v>
      </c>
      <c r="C92" s="53" t="s">
        <v>830</v>
      </c>
    </row>
    <row r="93" spans="1:3">
      <c r="A93" s="53" t="s">
        <v>1232</v>
      </c>
      <c r="B93" s="53" t="s">
        <v>832</v>
      </c>
      <c r="C93" s="53" t="s">
        <v>833</v>
      </c>
    </row>
    <row r="94" spans="1:3" ht="12" customHeight="1">
      <c r="A94" s="53" t="s">
        <v>1233</v>
      </c>
      <c r="B94" s="53" t="s">
        <v>838</v>
      </c>
      <c r="C94" s="53" t="s">
        <v>836</v>
      </c>
    </row>
    <row r="95" spans="1:3">
      <c r="A95" s="53" t="s">
        <v>1234</v>
      </c>
      <c r="B95" s="53" t="s">
        <v>840</v>
      </c>
      <c r="C95" s="53" t="s">
        <v>841</v>
      </c>
    </row>
    <row r="96" spans="1:3">
      <c r="A96" s="53" t="s">
        <v>1235</v>
      </c>
      <c r="B96" s="53" t="s">
        <v>842</v>
      </c>
      <c r="C96" s="53" t="s">
        <v>843</v>
      </c>
    </row>
    <row r="97" spans="1:3">
      <c r="A97" s="53" t="s">
        <v>1236</v>
      </c>
      <c r="B97" s="53" t="s">
        <v>844</v>
      </c>
      <c r="C97" s="53" t="s">
        <v>845</v>
      </c>
    </row>
    <row r="98" spans="1:3">
      <c r="A98" s="53" t="s">
        <v>1237</v>
      </c>
      <c r="B98" s="53" t="s">
        <v>1238</v>
      </c>
      <c r="C98" s="53" t="s">
        <v>1239</v>
      </c>
    </row>
    <row r="99" spans="1:3">
      <c r="A99" s="53" t="s">
        <v>1240</v>
      </c>
      <c r="B99" s="53" t="s">
        <v>850</v>
      </c>
      <c r="C99" s="53" t="s">
        <v>851</v>
      </c>
    </row>
    <row r="100" spans="1:3">
      <c r="A100" s="53" t="s">
        <v>1241</v>
      </c>
      <c r="B100" s="53" t="s">
        <v>726</v>
      </c>
      <c r="C100" s="53" t="s">
        <v>853</v>
      </c>
    </row>
    <row r="101" spans="1:3">
      <c r="A101" s="53" t="s">
        <v>1242</v>
      </c>
      <c r="B101" s="53" t="s">
        <v>721</v>
      </c>
      <c r="C101" s="53" t="s">
        <v>855</v>
      </c>
    </row>
    <row r="102" spans="1:3">
      <c r="A102" s="53" t="s">
        <v>1243</v>
      </c>
      <c r="B102" s="53" t="s">
        <v>1244</v>
      </c>
      <c r="C102" s="53" t="s">
        <v>1245</v>
      </c>
    </row>
    <row r="105" spans="1:3">
      <c r="A105" s="53" t="s">
        <v>1246</v>
      </c>
      <c r="B105" s="53" t="s">
        <v>1247</v>
      </c>
      <c r="C105" s="53" t="s">
        <v>1248</v>
      </c>
    </row>
    <row r="106" spans="1:3">
      <c r="A106" s="53" t="s">
        <v>1249</v>
      </c>
      <c r="B106" s="53" t="s">
        <v>1250</v>
      </c>
      <c r="C106" s="53" t="s">
        <v>1251</v>
      </c>
    </row>
    <row r="107" spans="1:3">
      <c r="A107" s="53" t="s">
        <v>1252</v>
      </c>
      <c r="B107" s="53" t="s">
        <v>1253</v>
      </c>
      <c r="C107" s="53" t="s">
        <v>1254</v>
      </c>
    </row>
    <row r="108" spans="1:3">
      <c r="A108" s="53" t="s">
        <v>1255</v>
      </c>
      <c r="B108" s="53" t="s">
        <v>1256</v>
      </c>
      <c r="C108" s="53" t="s">
        <v>1257</v>
      </c>
    </row>
    <row r="109" spans="1:3">
      <c r="A109" s="53" t="s">
        <v>1258</v>
      </c>
      <c r="B109" s="53" t="s">
        <v>1259</v>
      </c>
      <c r="C109" s="53" t="s">
        <v>1260</v>
      </c>
    </row>
    <row r="110" spans="1:3">
      <c r="A110" s="53" t="s">
        <v>1261</v>
      </c>
      <c r="B110" s="53" t="s">
        <v>1262</v>
      </c>
      <c r="C110" s="53" t="s">
        <v>1263</v>
      </c>
    </row>
    <row r="111" spans="1:3">
      <c r="A111" s="53" t="s">
        <v>1264</v>
      </c>
      <c r="B111" s="53" t="s">
        <v>1265</v>
      </c>
      <c r="C111" s="53" t="s">
        <v>1266</v>
      </c>
    </row>
    <row r="112" spans="1:3">
      <c r="A112" s="53" t="s">
        <v>143</v>
      </c>
      <c r="B112" s="53" t="s">
        <v>881</v>
      </c>
      <c r="C112" s="53" t="s">
        <v>882</v>
      </c>
    </row>
    <row r="113" spans="1:3">
      <c r="A113" s="53" t="s">
        <v>550</v>
      </c>
      <c r="B113" s="53" t="s">
        <v>1267</v>
      </c>
      <c r="C113" s="53" t="s">
        <v>1268</v>
      </c>
    </row>
    <row r="114" spans="1:3">
      <c r="A114" s="53" t="s">
        <v>551</v>
      </c>
      <c r="B114" s="53" t="s">
        <v>1269</v>
      </c>
      <c r="C114" s="53" t="s">
        <v>1270</v>
      </c>
    </row>
    <row r="115" spans="1:3">
      <c r="A115" s="53" t="s">
        <v>552</v>
      </c>
      <c r="B115" s="53" t="s">
        <v>1271</v>
      </c>
      <c r="C115" s="53" t="s">
        <v>1272</v>
      </c>
    </row>
    <row r="116" spans="1:3">
      <c r="A116" s="53" t="s">
        <v>553</v>
      </c>
      <c r="B116" s="53" t="s">
        <v>1273</v>
      </c>
      <c r="C116" s="53" t="s">
        <v>1274</v>
      </c>
    </row>
    <row r="117" spans="1:3">
      <c r="A117" s="53" t="s">
        <v>554</v>
      </c>
      <c r="B117" s="53" t="s">
        <v>1275</v>
      </c>
      <c r="C117" s="53" t="s">
        <v>1276</v>
      </c>
    </row>
    <row r="118" spans="1:3">
      <c r="A118" s="53" t="s">
        <v>1277</v>
      </c>
      <c r="B118" s="53" t="s">
        <v>1278</v>
      </c>
      <c r="C118" s="53" t="s">
        <v>1279</v>
      </c>
    </row>
    <row r="119" spans="1:3">
      <c r="A119" s="53" t="s">
        <v>555</v>
      </c>
      <c r="B119" s="53" t="s">
        <v>1280</v>
      </c>
      <c r="C119" s="53" t="s">
        <v>1281</v>
      </c>
    </row>
    <row r="120" spans="1:3">
      <c r="A120" s="53" t="s">
        <v>556</v>
      </c>
      <c r="B120" s="53" t="s">
        <v>1282</v>
      </c>
      <c r="C120" s="53" t="s">
        <v>1283</v>
      </c>
    </row>
    <row r="121" spans="1:3">
      <c r="A121" s="53" t="s">
        <v>557</v>
      </c>
      <c r="B121" s="53" t="s">
        <v>1284</v>
      </c>
      <c r="C121" s="53" t="s">
        <v>1285</v>
      </c>
    </row>
    <row r="122" spans="1:3">
      <c r="A122" s="53" t="s">
        <v>1286</v>
      </c>
      <c r="B122" s="53" t="s">
        <v>1287</v>
      </c>
      <c r="C122" s="53" t="s">
        <v>1288</v>
      </c>
    </row>
    <row r="123" spans="1:3">
      <c r="A123" s="53" t="s">
        <v>1289</v>
      </c>
      <c r="B123" s="53" t="s">
        <v>1290</v>
      </c>
      <c r="C123" s="53" t="s">
        <v>1291</v>
      </c>
    </row>
    <row r="124" spans="1:3">
      <c r="A124" s="53" t="s">
        <v>1292</v>
      </c>
      <c r="B124" s="53" t="s">
        <v>1293</v>
      </c>
      <c r="C124" s="53" t="s">
        <v>1294</v>
      </c>
    </row>
    <row r="125" spans="1:3">
      <c r="A125" s="53" t="s">
        <v>156</v>
      </c>
      <c r="B125" s="53" t="s">
        <v>918</v>
      </c>
      <c r="C125" s="53" t="s">
        <v>919</v>
      </c>
    </row>
    <row r="126" spans="1:3">
      <c r="A126" s="53" t="s">
        <v>1295</v>
      </c>
      <c r="B126" s="53" t="s">
        <v>1296</v>
      </c>
      <c r="C126" s="53" t="s">
        <v>1297</v>
      </c>
    </row>
    <row r="127" spans="1:3">
      <c r="A127" s="53" t="s">
        <v>1298</v>
      </c>
      <c r="B127" s="53" t="s">
        <v>1299</v>
      </c>
      <c r="C127" s="53" t="s">
        <v>1300</v>
      </c>
    </row>
    <row r="128" spans="1:3">
      <c r="A128" s="53" t="s">
        <v>159</v>
      </c>
      <c r="B128" s="53" t="s">
        <v>927</v>
      </c>
      <c r="C128" s="53" t="s">
        <v>928</v>
      </c>
    </row>
    <row r="129" spans="1:3">
      <c r="A129" s="53" t="s">
        <v>1301</v>
      </c>
      <c r="B129" s="53" t="s">
        <v>1302</v>
      </c>
      <c r="C129" s="53" t="s">
        <v>1303</v>
      </c>
    </row>
    <row r="130" spans="1:3">
      <c r="A130" s="53" t="s">
        <v>161</v>
      </c>
      <c r="B130" s="53" t="s">
        <v>931</v>
      </c>
      <c r="C130" s="53" t="s">
        <v>932</v>
      </c>
    </row>
    <row r="131" spans="1:3">
      <c r="A131" s="53" t="s">
        <v>1304</v>
      </c>
      <c r="B131" s="53" t="s">
        <v>1305</v>
      </c>
      <c r="C131" s="53" t="s">
        <v>1306</v>
      </c>
    </row>
    <row r="132" spans="1:3">
      <c r="A132" s="53" t="s">
        <v>162</v>
      </c>
      <c r="B132" s="53" t="s">
        <v>927</v>
      </c>
      <c r="C132" s="53" t="s">
        <v>935</v>
      </c>
    </row>
    <row r="133" spans="1:3">
      <c r="A133" s="53" t="s">
        <v>1307</v>
      </c>
      <c r="B133" s="53" t="s">
        <v>1308</v>
      </c>
      <c r="C133" s="53" t="s">
        <v>1309</v>
      </c>
    </row>
    <row r="134" spans="1:3">
      <c r="A134" s="53" t="s">
        <v>159</v>
      </c>
      <c r="B134" s="53" t="s">
        <v>927</v>
      </c>
      <c r="C134" s="53" t="s">
        <v>939</v>
      </c>
    </row>
    <row r="135" spans="1:3">
      <c r="A135" s="53" t="s">
        <v>1310</v>
      </c>
      <c r="B135" s="53" t="s">
        <v>1311</v>
      </c>
      <c r="C135" s="53" t="s">
        <v>1312</v>
      </c>
    </row>
    <row r="136" spans="1:3">
      <c r="A136" s="53" t="s">
        <v>165</v>
      </c>
      <c r="B136" s="53" t="s">
        <v>944</v>
      </c>
      <c r="C136" s="53" t="s">
        <v>945</v>
      </c>
    </row>
    <row r="137" spans="1:3">
      <c r="A137" s="53" t="s">
        <v>1313</v>
      </c>
      <c r="B137" s="53" t="s">
        <v>1314</v>
      </c>
      <c r="C137" s="53" t="s">
        <v>1315</v>
      </c>
    </row>
    <row r="138" spans="1:3">
      <c r="A138" s="53" t="s">
        <v>1316</v>
      </c>
      <c r="B138" s="53" t="s">
        <v>1317</v>
      </c>
      <c r="C138" s="53" t="s">
        <v>1318</v>
      </c>
    </row>
    <row r="139" spans="1:3">
      <c r="A139" s="53" t="s">
        <v>168</v>
      </c>
      <c r="B139" s="53" t="s">
        <v>953</v>
      </c>
      <c r="C139" s="53" t="s">
        <v>954</v>
      </c>
    </row>
    <row r="140" spans="1:3">
      <c r="A140" s="53" t="s">
        <v>1319</v>
      </c>
      <c r="B140" s="53" t="s">
        <v>1320</v>
      </c>
      <c r="C140" s="53" t="s">
        <v>1321</v>
      </c>
    </row>
    <row r="141" spans="1:3">
      <c r="A141" s="53" t="s">
        <v>168</v>
      </c>
      <c r="B141" s="53" t="s">
        <v>953</v>
      </c>
      <c r="C141" s="53" t="s">
        <v>958</v>
      </c>
    </row>
    <row r="142" spans="1:3">
      <c r="A142" s="53" t="s">
        <v>1322</v>
      </c>
      <c r="B142" s="53" t="s">
        <v>1323</v>
      </c>
      <c r="C142" s="53" t="s">
        <v>1324</v>
      </c>
    </row>
    <row r="143" spans="1:3">
      <c r="A143" s="53" t="s">
        <v>1325</v>
      </c>
      <c r="B143" s="53" t="s">
        <v>1326</v>
      </c>
      <c r="C143" s="53" t="s">
        <v>1327</v>
      </c>
    </row>
    <row r="144" spans="1:3">
      <c r="A144" s="53" t="s">
        <v>165</v>
      </c>
      <c r="B144" s="53" t="s">
        <v>944</v>
      </c>
      <c r="C144" s="53" t="s">
        <v>1058</v>
      </c>
    </row>
    <row r="145" spans="1:3">
      <c r="A145" s="53" t="s">
        <v>1328</v>
      </c>
      <c r="B145" s="53" t="s">
        <v>1329</v>
      </c>
      <c r="C145" s="53" t="s">
        <v>1330</v>
      </c>
    </row>
    <row r="146" spans="1:3">
      <c r="A146" s="53" t="s">
        <v>1331</v>
      </c>
      <c r="B146" s="53" t="s">
        <v>1332</v>
      </c>
      <c r="C146" s="53" t="s">
        <v>1333</v>
      </c>
    </row>
    <row r="147" spans="1:3">
      <c r="A147" s="53" t="s">
        <v>1334</v>
      </c>
      <c r="B147" s="53" t="s">
        <v>1335</v>
      </c>
      <c r="C147" s="53" t="s">
        <v>1336</v>
      </c>
    </row>
    <row r="148" spans="1:3">
      <c r="A148" s="53" t="s">
        <v>1337</v>
      </c>
      <c r="B148" s="53" t="s">
        <v>1338</v>
      </c>
      <c r="C148" s="53" t="s">
        <v>1339</v>
      </c>
    </row>
    <row r="149" spans="1:3">
      <c r="A149" s="53" t="s">
        <v>1340</v>
      </c>
      <c r="B149" s="53" t="s">
        <v>1341</v>
      </c>
      <c r="C149" s="53" t="s">
        <v>1342</v>
      </c>
    </row>
    <row r="150" spans="1:3">
      <c r="A150" s="53" t="s">
        <v>1343</v>
      </c>
      <c r="B150" s="53" t="s">
        <v>1344</v>
      </c>
      <c r="C150" s="53" t="s">
        <v>1345</v>
      </c>
    </row>
    <row r="151" spans="1:3">
      <c r="A151" s="53" t="s">
        <v>1346</v>
      </c>
      <c r="B151" s="53" t="s">
        <v>1347</v>
      </c>
      <c r="C151" s="53" t="s">
        <v>1348</v>
      </c>
    </row>
    <row r="152" spans="1:3">
      <c r="A152" s="53" t="s">
        <v>526</v>
      </c>
      <c r="B152" s="53" t="s">
        <v>1349</v>
      </c>
      <c r="C152" s="53" t="s">
        <v>1350</v>
      </c>
    </row>
    <row r="153" spans="1:3">
      <c r="A153" s="53" t="s">
        <v>1351</v>
      </c>
      <c r="B153" s="53" t="s">
        <v>1352</v>
      </c>
      <c r="C153" s="53" t="s">
        <v>1353</v>
      </c>
    </row>
    <row r="154" spans="1:3">
      <c r="A154" s="53" t="s">
        <v>1354</v>
      </c>
      <c r="B154" s="53" t="s">
        <v>1355</v>
      </c>
      <c r="C154" s="53" t="s">
        <v>1356</v>
      </c>
    </row>
    <row r="155" spans="1:3">
      <c r="A155" s="53" t="s">
        <v>1357</v>
      </c>
      <c r="B155" s="53" t="s">
        <v>1358</v>
      </c>
      <c r="C155" s="53" t="s">
        <v>1359</v>
      </c>
    </row>
    <row r="156" spans="1:3">
      <c r="A156" s="53" t="s">
        <v>1360</v>
      </c>
      <c r="B156" s="53" t="s">
        <v>1361</v>
      </c>
      <c r="C156" s="53" t="s">
        <v>1362</v>
      </c>
    </row>
    <row r="160" spans="1:3">
      <c r="A160" s="53" t="s">
        <v>1363</v>
      </c>
      <c r="B160" s="53" t="s">
        <v>1364</v>
      </c>
      <c r="C160" s="53" t="s">
        <v>1365</v>
      </c>
    </row>
    <row r="161" spans="1:3">
      <c r="A161" s="53" t="s">
        <v>1366</v>
      </c>
      <c r="B161" s="53" t="s">
        <v>1367</v>
      </c>
      <c r="C161" s="53" t="s">
        <v>1368</v>
      </c>
    </row>
    <row r="162" spans="1:3">
      <c r="A162" s="53" t="s">
        <v>1369</v>
      </c>
      <c r="B162" s="53" t="s">
        <v>1370</v>
      </c>
      <c r="C162" s="53" t="s">
        <v>1371</v>
      </c>
    </row>
    <row r="163" spans="1:3">
      <c r="A163" s="53" t="s">
        <v>1372</v>
      </c>
      <c r="B163" s="53" t="s">
        <v>1373</v>
      </c>
      <c r="C163" s="53" t="s">
        <v>1374</v>
      </c>
    </row>
    <row r="164" spans="1:3">
      <c r="A164" s="53" t="s">
        <v>1375</v>
      </c>
      <c r="B164" s="53" t="s">
        <v>1376</v>
      </c>
      <c r="C164" s="53" t="s">
        <v>1377</v>
      </c>
    </row>
    <row r="165" spans="1:3">
      <c r="A165" s="53" t="s">
        <v>1378</v>
      </c>
      <c r="B165" s="53" t="s">
        <v>1379</v>
      </c>
      <c r="C165" s="53" t="s">
        <v>1380</v>
      </c>
    </row>
    <row r="166" spans="1:3">
      <c r="A166" s="53" t="s">
        <v>1381</v>
      </c>
      <c r="B166" s="53" t="s">
        <v>1382</v>
      </c>
      <c r="C166" s="53" t="s">
        <v>1383</v>
      </c>
    </row>
    <row r="167" spans="1:3">
      <c r="A167" s="53" t="s">
        <v>1384</v>
      </c>
      <c r="B167" s="53" t="s">
        <v>1385</v>
      </c>
      <c r="C167" s="53" t="s">
        <v>1386</v>
      </c>
    </row>
    <row r="168" spans="1:3">
      <c r="A168" s="53" t="s">
        <v>1387</v>
      </c>
      <c r="B168" s="53" t="s">
        <v>1388</v>
      </c>
      <c r="C168" s="53" t="s">
        <v>1389</v>
      </c>
    </row>
    <row r="169" spans="1:3">
      <c r="A169" s="53" t="s">
        <v>1390</v>
      </c>
      <c r="B169" s="53" t="s">
        <v>1391</v>
      </c>
      <c r="C169" s="53" t="s">
        <v>1392</v>
      </c>
    </row>
    <row r="170" spans="1:3">
      <c r="A170" s="53" t="s">
        <v>1393</v>
      </c>
      <c r="B170" s="53" t="s">
        <v>1394</v>
      </c>
      <c r="C170" s="53" t="s">
        <v>1395</v>
      </c>
    </row>
    <row r="171" spans="1:3">
      <c r="A171" s="53" t="s">
        <v>1396</v>
      </c>
      <c r="B171" s="53" t="s">
        <v>1397</v>
      </c>
      <c r="C171" s="53" t="s">
        <v>1398</v>
      </c>
    </row>
    <row r="172" spans="1:3">
      <c r="A172" s="53" t="s">
        <v>1399</v>
      </c>
      <c r="B172" s="53" t="s">
        <v>1400</v>
      </c>
      <c r="C172" s="53" t="s">
        <v>1401</v>
      </c>
    </row>
    <row r="173" spans="1:3">
      <c r="A173" s="53" t="s">
        <v>1402</v>
      </c>
      <c r="B173" s="53" t="s">
        <v>1403</v>
      </c>
      <c r="C173" s="53" t="s">
        <v>1404</v>
      </c>
    </row>
    <row r="174" spans="1:3">
      <c r="A174" s="53" t="s">
        <v>1405</v>
      </c>
      <c r="B174" s="53" t="s">
        <v>1406</v>
      </c>
      <c r="C174" s="53" t="s">
        <v>1407</v>
      </c>
    </row>
    <row r="175" spans="1:3">
      <c r="A175" s="53" t="s">
        <v>1408</v>
      </c>
      <c r="B175" s="53" t="s">
        <v>1409</v>
      </c>
      <c r="C175" s="53" t="s">
        <v>1410</v>
      </c>
    </row>
    <row r="176" spans="1:3">
      <c r="A176" s="53" t="s">
        <v>1411</v>
      </c>
      <c r="B176" s="53" t="s">
        <v>1412</v>
      </c>
      <c r="C176" s="53" t="s">
        <v>1413</v>
      </c>
    </row>
    <row r="177" spans="1:3">
      <c r="A177" s="53" t="s">
        <v>1414</v>
      </c>
      <c r="B177" s="53" t="s">
        <v>1415</v>
      </c>
      <c r="C177" s="53" t="s">
        <v>1416</v>
      </c>
    </row>
    <row r="178" spans="1:3">
      <c r="A178" s="53" t="s">
        <v>1417</v>
      </c>
      <c r="B178" s="53" t="s">
        <v>1418</v>
      </c>
      <c r="C178" s="53" t="s">
        <v>1419</v>
      </c>
    </row>
    <row r="179" spans="1:3">
      <c r="A179" s="53" t="s">
        <v>1420</v>
      </c>
      <c r="B179" s="53" t="s">
        <v>1421</v>
      </c>
      <c r="C179" s="53" t="s">
        <v>1422</v>
      </c>
    </row>
    <row r="180" spans="1:3">
      <c r="A180" s="53" t="s">
        <v>1423</v>
      </c>
      <c r="B180" s="53" t="s">
        <v>1424</v>
      </c>
      <c r="C180" s="53" t="s">
        <v>1425</v>
      </c>
    </row>
    <row r="181" spans="1:3">
      <c r="A181" s="53" t="s">
        <v>1426</v>
      </c>
      <c r="B181" s="53" t="s">
        <v>1427</v>
      </c>
      <c r="C181" s="53" t="s">
        <v>1428</v>
      </c>
    </row>
    <row r="182" spans="1:3">
      <c r="A182" s="53" t="s">
        <v>1429</v>
      </c>
      <c r="B182" s="53" t="s">
        <v>1430</v>
      </c>
      <c r="C182" s="53" t="s">
        <v>1431</v>
      </c>
    </row>
    <row r="183" spans="1:3">
      <c r="A183" s="53" t="s">
        <v>1432</v>
      </c>
      <c r="B183" s="53" t="s">
        <v>1433</v>
      </c>
      <c r="C183" s="53" t="s">
        <v>1434</v>
      </c>
    </row>
    <row r="184" spans="1:3">
      <c r="A184" s="53" t="s">
        <v>1435</v>
      </c>
      <c r="B184" s="53" t="s">
        <v>1436</v>
      </c>
      <c r="C184" s="53" t="s">
        <v>1437</v>
      </c>
    </row>
    <row r="185" spans="1:3">
      <c r="A185" s="53" t="s">
        <v>1438</v>
      </c>
      <c r="B185" s="53" t="s">
        <v>1439</v>
      </c>
      <c r="C185" s="53" t="s">
        <v>1440</v>
      </c>
    </row>
    <row r="186" spans="1:3">
      <c r="A186" s="53" t="s">
        <v>1441</v>
      </c>
      <c r="B186" s="53" t="s">
        <v>1442</v>
      </c>
      <c r="C186" s="53" t="s">
        <v>1443</v>
      </c>
    </row>
    <row r="187" spans="1:3">
      <c r="A187" s="53" t="s">
        <v>1444</v>
      </c>
      <c r="B187" s="53" t="s">
        <v>1445</v>
      </c>
      <c r="C187" s="53" t="s">
        <v>1446</v>
      </c>
    </row>
    <row r="188" spans="1:3">
      <c r="A188" s="53" t="s">
        <v>1447</v>
      </c>
      <c r="B188" s="53" t="s">
        <v>1448</v>
      </c>
      <c r="C188" s="53" t="s">
        <v>1449</v>
      </c>
    </row>
    <row r="189" spans="1:3">
      <c r="A189" s="53" t="s">
        <v>1450</v>
      </c>
      <c r="B189" s="53" t="s">
        <v>1451</v>
      </c>
      <c r="C189" s="53" t="s">
        <v>1452</v>
      </c>
    </row>
    <row r="190" spans="1:3">
      <c r="A190" s="53" t="s">
        <v>1453</v>
      </c>
      <c r="B190" s="53" t="s">
        <v>1454</v>
      </c>
      <c r="C190" s="53" t="s">
        <v>1455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E2EFDA"/>
    <pageSetUpPr fitToPage="1"/>
  </sheetPr>
  <dimension ref="A1:M206"/>
  <sheetViews>
    <sheetView topLeftCell="A151" zoomScaleNormal="100" workbookViewId="0">
      <selection activeCell="E135" sqref="E135"/>
    </sheetView>
  </sheetViews>
  <sheetFormatPr defaultColWidth="8.88671875" defaultRowHeight="13.5" customHeight="1"/>
  <cols>
    <col min="1" max="1" width="4.77734375" customWidth="1"/>
    <col min="2" max="2" width="45.77734375" customWidth="1"/>
    <col min="3" max="4" width="8.88671875" style="13"/>
    <col min="5" max="5" width="10.6640625" style="13" bestFit="1" customWidth="1"/>
    <col min="6" max="6" width="8.88671875" style="13"/>
    <col min="7" max="7" width="11.6640625" style="13" customWidth="1"/>
    <col min="8" max="16384" width="8.88671875" style="13"/>
  </cols>
  <sheetData>
    <row r="1" spans="1:10" ht="13.5" customHeight="1">
      <c r="A1" s="14" t="s">
        <v>30</v>
      </c>
      <c r="G1" s="15"/>
    </row>
    <row r="2" spans="1:10" ht="13.5" customHeight="1">
      <c r="C2" s="446">
        <v>44561</v>
      </c>
      <c r="D2" s="16"/>
      <c r="E2" s="446">
        <v>44742</v>
      </c>
    </row>
    <row r="3" spans="1:10" ht="13.5" customHeight="1">
      <c r="A3" s="17">
        <v>1</v>
      </c>
      <c r="B3" s="11" t="s">
        <v>33</v>
      </c>
      <c r="C3" s="190">
        <f>C4+C12+C20</f>
        <v>6187666</v>
      </c>
      <c r="D3" s="190">
        <f>D4+D12+D20</f>
        <v>0</v>
      </c>
      <c r="E3" s="190">
        <f>E4+E12+E20</f>
        <v>6446950</v>
      </c>
      <c r="G3" s="191"/>
      <c r="H3" s="15"/>
      <c r="I3" s="15"/>
      <c r="J3" s="18"/>
    </row>
    <row r="4" spans="1:10" ht="13.5" customHeight="1">
      <c r="A4" s="17">
        <v>2</v>
      </c>
      <c r="B4" s="11" t="s">
        <v>34</v>
      </c>
      <c r="C4" s="190">
        <f>SUM(C5:C11)</f>
        <v>790451</v>
      </c>
      <c r="D4" s="190">
        <f>SUM(D5:D11)</f>
        <v>0</v>
      </c>
      <c r="E4" s="190">
        <f>SUM(E5:E11)</f>
        <v>745320</v>
      </c>
      <c r="G4" s="19"/>
      <c r="H4" s="15"/>
      <c r="I4" s="15"/>
      <c r="J4" s="18"/>
    </row>
    <row r="5" spans="1:10" ht="13.5" customHeight="1">
      <c r="A5" s="17">
        <v>3</v>
      </c>
      <c r="B5" s="11" t="s">
        <v>35</v>
      </c>
      <c r="C5" s="188">
        <v>36591</v>
      </c>
      <c r="D5" s="188"/>
      <c r="E5" s="188">
        <v>29226</v>
      </c>
      <c r="G5" s="189"/>
      <c r="H5" s="15"/>
      <c r="I5" s="15"/>
      <c r="J5" s="18"/>
    </row>
    <row r="6" spans="1:10" ht="13.5" customHeight="1">
      <c r="A6" s="17">
        <v>4</v>
      </c>
      <c r="B6" s="11" t="s">
        <v>36</v>
      </c>
      <c r="C6" s="188">
        <v>0</v>
      </c>
      <c r="D6" s="188"/>
      <c r="E6" s="188">
        <v>0</v>
      </c>
      <c r="G6" s="19"/>
      <c r="H6" s="18"/>
      <c r="I6" s="18"/>
      <c r="J6" s="18"/>
    </row>
    <row r="7" spans="1:10" ht="13.5" customHeight="1">
      <c r="A7" s="17">
        <v>5</v>
      </c>
      <c r="B7" s="11" t="s">
        <v>37</v>
      </c>
      <c r="C7" s="188">
        <v>359435</v>
      </c>
      <c r="D7" s="188"/>
      <c r="E7" s="188">
        <v>328497</v>
      </c>
      <c r="G7" s="195"/>
      <c r="H7" s="15"/>
      <c r="I7" s="18"/>
      <c r="J7" s="18"/>
    </row>
    <row r="8" spans="1:10" ht="13.5" customHeight="1">
      <c r="A8" s="17">
        <v>6</v>
      </c>
      <c r="B8" s="11" t="s">
        <v>38</v>
      </c>
      <c r="C8" s="188">
        <v>394425</v>
      </c>
      <c r="D8" s="188"/>
      <c r="E8" s="188">
        <v>387597</v>
      </c>
      <c r="G8" s="19"/>
    </row>
    <row r="9" spans="1:10" ht="13.5" customHeight="1">
      <c r="A9" s="17">
        <v>7</v>
      </c>
      <c r="B9" s="11" t="s">
        <v>39</v>
      </c>
      <c r="C9" s="188">
        <v>0</v>
      </c>
      <c r="D9" s="188"/>
      <c r="E9" s="188">
        <v>0</v>
      </c>
      <c r="G9" s="19"/>
    </row>
    <row r="10" spans="1:10" ht="13.5" customHeight="1">
      <c r="A10" s="17">
        <v>8</v>
      </c>
      <c r="B10" s="11" t="s">
        <v>40</v>
      </c>
      <c r="C10" s="188">
        <v>0</v>
      </c>
      <c r="D10" s="188"/>
      <c r="E10" s="188">
        <v>0</v>
      </c>
      <c r="G10" s="19"/>
    </row>
    <row r="11" spans="1:10" ht="13.5" customHeight="1">
      <c r="A11" s="17">
        <v>9</v>
      </c>
      <c r="B11" s="11" t="s">
        <v>41</v>
      </c>
      <c r="C11" s="188">
        <v>0</v>
      </c>
      <c r="D11" s="188"/>
      <c r="E11" s="188">
        <v>0</v>
      </c>
      <c r="G11" s="19"/>
    </row>
    <row r="12" spans="1:10" ht="13.5" customHeight="1">
      <c r="A12" s="17">
        <v>10</v>
      </c>
      <c r="B12" s="11" t="s">
        <v>42</v>
      </c>
      <c r="C12" s="190">
        <f>SUM(C13:C19)</f>
        <v>5185702</v>
      </c>
      <c r="D12" s="190">
        <f>SUM(D13:D19)</f>
        <v>0</v>
      </c>
      <c r="E12" s="190">
        <f>SUM(E13:E19)</f>
        <v>5501362</v>
      </c>
      <c r="G12" s="19"/>
    </row>
    <row r="13" spans="1:10" ht="13.5" customHeight="1">
      <c r="A13" s="17">
        <v>11</v>
      </c>
      <c r="B13" s="11" t="s">
        <v>43</v>
      </c>
      <c r="C13" s="188">
        <v>2498627</v>
      </c>
      <c r="D13" s="188"/>
      <c r="E13" s="188">
        <v>2515265</v>
      </c>
      <c r="G13" s="19"/>
    </row>
    <row r="14" spans="1:10" ht="13.5" customHeight="1">
      <c r="A14" s="17">
        <v>12</v>
      </c>
      <c r="B14" s="11" t="s">
        <v>44</v>
      </c>
      <c r="C14" s="188">
        <v>2145792</v>
      </c>
      <c r="D14" s="188"/>
      <c r="E14" s="188">
        <v>2110118</v>
      </c>
      <c r="G14" s="19"/>
    </row>
    <row r="15" spans="1:10" ht="13.5" customHeight="1">
      <c r="A15" s="17">
        <v>13</v>
      </c>
      <c r="B15" s="11" t="s">
        <v>45</v>
      </c>
      <c r="C15" s="188">
        <v>328407</v>
      </c>
      <c r="D15" s="188"/>
      <c r="E15" s="188">
        <v>304441</v>
      </c>
      <c r="G15" s="269"/>
    </row>
    <row r="16" spans="1:10" ht="13.5" customHeight="1">
      <c r="A16" s="17">
        <v>14</v>
      </c>
      <c r="B16" s="11" t="s">
        <v>46</v>
      </c>
      <c r="C16" s="188">
        <v>0</v>
      </c>
      <c r="D16" s="188"/>
      <c r="E16" s="188">
        <v>0</v>
      </c>
      <c r="G16" s="19"/>
    </row>
    <row r="17" spans="1:7" ht="13.5" customHeight="1">
      <c r="A17" s="17">
        <v>15</v>
      </c>
      <c r="B17" s="11" t="s">
        <v>47</v>
      </c>
      <c r="C17" s="188">
        <v>150900</v>
      </c>
      <c r="D17" s="188"/>
      <c r="E17" s="188">
        <v>511537</v>
      </c>
      <c r="G17" s="19"/>
    </row>
    <row r="18" spans="1:7" ht="13.5" customHeight="1">
      <c r="A18" s="17">
        <v>16</v>
      </c>
      <c r="B18" s="11" t="s">
        <v>48</v>
      </c>
      <c r="C18" s="188">
        <v>61976</v>
      </c>
      <c r="D18" s="188"/>
      <c r="E18" s="188">
        <v>60001</v>
      </c>
      <c r="G18" s="19"/>
    </row>
    <row r="19" spans="1:7" ht="13.5" customHeight="1">
      <c r="A19" s="17">
        <v>17</v>
      </c>
      <c r="B19" s="11" t="s">
        <v>49</v>
      </c>
      <c r="C19" s="188">
        <v>0</v>
      </c>
      <c r="D19" s="188"/>
      <c r="E19" s="188">
        <v>0</v>
      </c>
      <c r="G19" s="19"/>
    </row>
    <row r="20" spans="1:7" ht="13.5" customHeight="1">
      <c r="A20" s="17">
        <v>18</v>
      </c>
      <c r="B20" s="11" t="s">
        <v>50</v>
      </c>
      <c r="C20" s="190">
        <f>SUM(C21:C30)</f>
        <v>211513</v>
      </c>
      <c r="D20" s="190">
        <f>SUM(D21:D30)</f>
        <v>0</v>
      </c>
      <c r="E20" s="190">
        <f>SUM(E21:E30)</f>
        <v>200268</v>
      </c>
      <c r="G20" s="19"/>
    </row>
    <row r="21" spans="1:7" ht="13.5" customHeight="1">
      <c r="A21" s="17">
        <v>19</v>
      </c>
      <c r="B21" s="11" t="s">
        <v>51</v>
      </c>
      <c r="C21" s="188"/>
      <c r="D21" s="188"/>
      <c r="E21" s="188"/>
      <c r="G21" s="19"/>
    </row>
    <row r="22" spans="1:7" ht="13.5" customHeight="1">
      <c r="A22" s="17">
        <v>20</v>
      </c>
      <c r="B22" s="11" t="s">
        <v>52</v>
      </c>
      <c r="C22" s="188"/>
      <c r="D22" s="188"/>
      <c r="E22" s="188"/>
      <c r="G22" s="19"/>
    </row>
    <row r="23" spans="1:7" ht="13.5" customHeight="1">
      <c r="A23" s="17">
        <v>21</v>
      </c>
      <c r="B23" s="11" t="s">
        <v>53</v>
      </c>
      <c r="C23" s="188"/>
      <c r="D23" s="188"/>
      <c r="E23" s="188"/>
      <c r="G23" s="19"/>
    </row>
    <row r="24" spans="1:7" ht="13.5" customHeight="1">
      <c r="A24" s="17">
        <v>22</v>
      </c>
      <c r="B24" s="11" t="s">
        <v>1464</v>
      </c>
      <c r="C24" s="188"/>
      <c r="D24" s="188"/>
      <c r="E24" s="188"/>
      <c r="G24" s="19"/>
    </row>
    <row r="25" spans="1:7" ht="13.5" customHeight="1">
      <c r="A25" s="17">
        <v>23</v>
      </c>
      <c r="B25" s="11" t="s">
        <v>55</v>
      </c>
      <c r="C25" s="188"/>
      <c r="D25" s="188"/>
      <c r="E25" s="188"/>
      <c r="G25" s="19"/>
    </row>
    <row r="26" spans="1:7" ht="13.5" customHeight="1">
      <c r="A26" s="17">
        <v>24</v>
      </c>
      <c r="B26" s="11" t="s">
        <v>1463</v>
      </c>
      <c r="C26" s="188"/>
      <c r="D26" s="188"/>
      <c r="E26" s="188"/>
      <c r="G26" s="19"/>
    </row>
    <row r="27" spans="1:7" ht="13.5" customHeight="1">
      <c r="A27" s="17">
        <v>25</v>
      </c>
      <c r="B27" s="11" t="s">
        <v>56</v>
      </c>
      <c r="C27" s="188">
        <v>211513</v>
      </c>
      <c r="D27" s="188"/>
      <c r="E27" s="188">
        <v>200268</v>
      </c>
      <c r="G27" s="19"/>
    </row>
    <row r="28" spans="1:7" ht="13.5" customHeight="1">
      <c r="A28" s="17">
        <v>26</v>
      </c>
      <c r="B28" s="11" t="s">
        <v>57</v>
      </c>
      <c r="C28" s="188"/>
      <c r="D28" s="188"/>
      <c r="E28" s="188"/>
      <c r="G28" s="19"/>
    </row>
    <row r="29" spans="1:7" ht="13.5" customHeight="1">
      <c r="A29" s="17">
        <v>27</v>
      </c>
      <c r="B29" s="11" t="s">
        <v>58</v>
      </c>
      <c r="C29" s="188"/>
      <c r="D29" s="188"/>
      <c r="E29" s="188"/>
      <c r="G29" s="19"/>
    </row>
    <row r="30" spans="1:7" ht="13.5" customHeight="1">
      <c r="A30" s="17">
        <v>28</v>
      </c>
      <c r="B30" s="11" t="s">
        <v>59</v>
      </c>
      <c r="C30" s="188"/>
      <c r="D30" s="188"/>
      <c r="E30" s="188"/>
      <c r="G30" s="19"/>
    </row>
    <row r="31" spans="1:7" ht="13.5" customHeight="1">
      <c r="A31" s="17">
        <v>29</v>
      </c>
      <c r="B31" s="11" t="s">
        <v>60</v>
      </c>
      <c r="C31" s="190">
        <f>C32+C39+C48+C55</f>
        <v>31033929</v>
      </c>
      <c r="D31" s="190">
        <f>D32+D39+D48+D55</f>
        <v>0</v>
      </c>
      <c r="E31" s="190">
        <f>E32+E39+E48+E55</f>
        <v>32899160</v>
      </c>
      <c r="G31" s="19"/>
    </row>
    <row r="32" spans="1:7" ht="13.5" customHeight="1">
      <c r="A32" s="17">
        <v>30</v>
      </c>
      <c r="B32" s="11" t="s">
        <v>61</v>
      </c>
      <c r="C32" s="190">
        <f>SUM(C33:C38)</f>
        <v>23726206</v>
      </c>
      <c r="D32" s="190">
        <f>SUM(D33:D38)</f>
        <v>0</v>
      </c>
      <c r="E32" s="190">
        <f>SUM(E33:E38)</f>
        <v>17841586</v>
      </c>
      <c r="G32" s="19"/>
    </row>
    <row r="33" spans="1:7" ht="13.5" customHeight="1">
      <c r="A33" s="17">
        <v>31</v>
      </c>
      <c r="B33" s="11" t="s">
        <v>62</v>
      </c>
      <c r="C33" s="188">
        <v>2222</v>
      </c>
      <c r="D33" s="188"/>
      <c r="E33" s="188">
        <v>15232</v>
      </c>
      <c r="G33" s="19"/>
    </row>
    <row r="34" spans="1:7" ht="13.5" customHeight="1">
      <c r="A34" s="17">
        <v>32</v>
      </c>
      <c r="B34" s="11" t="s">
        <v>63</v>
      </c>
      <c r="C34" s="188">
        <v>0</v>
      </c>
      <c r="D34" s="188"/>
      <c r="E34" s="188">
        <v>0</v>
      </c>
      <c r="G34" s="19"/>
    </row>
    <row r="35" spans="1:7" ht="13.5" customHeight="1">
      <c r="A35" s="17">
        <v>33</v>
      </c>
      <c r="B35" s="11" t="s">
        <v>64</v>
      </c>
      <c r="C35" s="188">
        <v>0</v>
      </c>
      <c r="D35" s="188"/>
      <c r="E35" s="188">
        <v>0</v>
      </c>
      <c r="G35" s="19"/>
    </row>
    <row r="36" spans="1:7" ht="13.5" customHeight="1">
      <c r="A36" s="17">
        <v>34</v>
      </c>
      <c r="B36" s="11" t="s">
        <v>65</v>
      </c>
      <c r="C36" s="188">
        <v>0</v>
      </c>
      <c r="D36" s="188"/>
      <c r="E36" s="188">
        <v>0</v>
      </c>
      <c r="G36" s="19"/>
    </row>
    <row r="37" spans="1:7" ht="13.5" customHeight="1">
      <c r="A37" s="17">
        <v>35</v>
      </c>
      <c r="B37" s="11" t="s">
        <v>66</v>
      </c>
      <c r="C37" s="188">
        <v>23362801</v>
      </c>
      <c r="D37" s="188"/>
      <c r="E37" s="188">
        <v>17826354</v>
      </c>
      <c r="G37" s="19"/>
    </row>
    <row r="38" spans="1:7" ht="13.5" customHeight="1">
      <c r="A38" s="17">
        <v>36</v>
      </c>
      <c r="B38" s="11" t="s">
        <v>67</v>
      </c>
      <c r="C38" s="188">
        <v>361183</v>
      </c>
      <c r="D38" s="188"/>
      <c r="E38" s="188"/>
      <c r="G38" s="19"/>
    </row>
    <row r="39" spans="1:7" ht="13.5" customHeight="1">
      <c r="A39" s="17">
        <v>37</v>
      </c>
      <c r="B39" s="11" t="s">
        <v>68</v>
      </c>
      <c r="C39" s="190">
        <f>SUM(C40:C47)</f>
        <v>4167531</v>
      </c>
      <c r="D39" s="190">
        <f>SUM(D40:D47)</f>
        <v>0</v>
      </c>
      <c r="E39" s="190">
        <f>SUM(E40:E47)</f>
        <v>4999785</v>
      </c>
      <c r="G39" s="19"/>
    </row>
    <row r="40" spans="1:7" ht="13.5" customHeight="1">
      <c r="A40" s="17">
        <v>38</v>
      </c>
      <c r="B40" s="11" t="s">
        <v>69</v>
      </c>
      <c r="C40" s="188">
        <v>2837363</v>
      </c>
      <c r="D40" s="188"/>
      <c r="E40" s="188">
        <v>3004226</v>
      </c>
      <c r="G40" s="19"/>
    </row>
    <row r="41" spans="1:7" ht="13.5" customHeight="1">
      <c r="A41" s="17">
        <v>39</v>
      </c>
      <c r="B41" s="11" t="s">
        <v>70</v>
      </c>
      <c r="C41" s="188">
        <v>11066</v>
      </c>
      <c r="D41" s="188"/>
      <c r="E41" s="188"/>
      <c r="G41" s="19"/>
    </row>
    <row r="42" spans="1:7" ht="13.5" customHeight="1">
      <c r="A42" s="17">
        <v>40</v>
      </c>
      <c r="B42" s="11" t="s">
        <v>1465</v>
      </c>
      <c r="C42" s="188">
        <v>0</v>
      </c>
      <c r="D42" s="188"/>
      <c r="E42" s="188">
        <v>0</v>
      </c>
      <c r="G42" s="19"/>
    </row>
    <row r="43" spans="1:7" ht="13.5" customHeight="1">
      <c r="A43" s="17">
        <v>41</v>
      </c>
      <c r="B43" s="11" t="s">
        <v>1466</v>
      </c>
      <c r="C43" s="188"/>
      <c r="D43" s="188"/>
      <c r="E43" s="188"/>
      <c r="G43" s="19"/>
    </row>
    <row r="44" spans="1:7" ht="13.5" customHeight="1">
      <c r="A44" s="17">
        <v>42</v>
      </c>
      <c r="B44" s="11" t="s">
        <v>72</v>
      </c>
      <c r="C44" s="188"/>
      <c r="D44" s="188"/>
      <c r="E44" s="188"/>
      <c r="G44" s="19"/>
    </row>
    <row r="45" spans="1:7" ht="13.5" customHeight="1">
      <c r="A45" s="17">
        <v>43</v>
      </c>
      <c r="B45" s="11" t="s">
        <v>73</v>
      </c>
      <c r="C45" s="188">
        <v>1319102</v>
      </c>
      <c r="D45" s="188"/>
      <c r="E45" s="188">
        <v>1995559</v>
      </c>
      <c r="G45" s="19"/>
    </row>
    <row r="46" spans="1:7" ht="13.5" customHeight="1">
      <c r="A46" s="17">
        <v>44</v>
      </c>
      <c r="B46" s="11" t="s">
        <v>74</v>
      </c>
      <c r="C46" s="188"/>
      <c r="D46" s="188"/>
      <c r="E46" s="188"/>
      <c r="G46" s="19"/>
    </row>
    <row r="47" spans="1:7" ht="13.5" customHeight="1">
      <c r="A47" s="17">
        <v>45</v>
      </c>
      <c r="B47" s="11" t="s">
        <v>75</v>
      </c>
      <c r="C47" s="188"/>
      <c r="D47" s="188"/>
      <c r="E47" s="188"/>
      <c r="G47" s="19"/>
    </row>
    <row r="48" spans="1:7" ht="13.5" customHeight="1">
      <c r="A48" s="17">
        <v>46</v>
      </c>
      <c r="B48" s="11" t="s">
        <v>76</v>
      </c>
      <c r="C48" s="190">
        <f>SUM(C49:C54)</f>
        <v>929831</v>
      </c>
      <c r="D48" s="190">
        <f>SUM(D49:D54)</f>
        <v>0</v>
      </c>
      <c r="E48" s="190">
        <f>SUM(E49:E54)</f>
        <v>0</v>
      </c>
      <c r="G48" s="19"/>
    </row>
    <row r="49" spans="1:7" ht="13.5" customHeight="1">
      <c r="A49" s="17">
        <v>47</v>
      </c>
      <c r="B49" s="11" t="s">
        <v>77</v>
      </c>
      <c r="C49" s="188">
        <v>929111</v>
      </c>
      <c r="D49" s="188"/>
      <c r="E49" s="188">
        <v>0</v>
      </c>
      <c r="G49" s="19"/>
    </row>
    <row r="50" spans="1:7" ht="13.5" customHeight="1">
      <c r="A50" s="17">
        <v>48</v>
      </c>
      <c r="B50" s="11" t="s">
        <v>78</v>
      </c>
      <c r="C50" s="188">
        <v>720</v>
      </c>
      <c r="D50" s="188"/>
      <c r="E50" s="188">
        <v>0</v>
      </c>
      <c r="G50" s="19"/>
    </row>
    <row r="51" spans="1:7" ht="13.5" customHeight="1">
      <c r="A51" s="17">
        <v>49</v>
      </c>
      <c r="B51" s="11" t="s">
        <v>79</v>
      </c>
      <c r="C51" s="188"/>
      <c r="D51" s="188"/>
      <c r="E51" s="188"/>
      <c r="G51" s="19"/>
    </row>
    <row r="52" spans="1:7" ht="13.5" customHeight="1">
      <c r="A52" s="17">
        <v>50</v>
      </c>
      <c r="B52" s="11" t="s">
        <v>80</v>
      </c>
      <c r="C52" s="188">
        <v>0</v>
      </c>
      <c r="D52" s="188"/>
      <c r="E52" s="188">
        <v>0</v>
      </c>
      <c r="G52" s="19"/>
    </row>
    <row r="53" spans="1:7" ht="13.5" customHeight="1">
      <c r="A53" s="17">
        <v>51</v>
      </c>
      <c r="B53" s="11" t="s">
        <v>81</v>
      </c>
      <c r="C53" s="188"/>
      <c r="D53" s="188"/>
      <c r="E53" s="188"/>
      <c r="G53" s="19"/>
    </row>
    <row r="54" spans="1:7" ht="13.5" customHeight="1">
      <c r="A54" s="17">
        <v>52</v>
      </c>
      <c r="B54" s="11" t="s">
        <v>82</v>
      </c>
      <c r="C54" s="188"/>
      <c r="D54" s="188"/>
      <c r="E54" s="188"/>
      <c r="G54" s="19"/>
    </row>
    <row r="55" spans="1:7" ht="13.5" customHeight="1">
      <c r="A55" s="17">
        <v>53</v>
      </c>
      <c r="B55" s="11" t="s">
        <v>83</v>
      </c>
      <c r="C55" s="190">
        <f>C56+C57</f>
        <v>2210361</v>
      </c>
      <c r="D55" s="190">
        <f>D56+D57</f>
        <v>0</v>
      </c>
      <c r="E55" s="190">
        <f>E56+E57</f>
        <v>10057789</v>
      </c>
      <c r="G55" s="19"/>
    </row>
    <row r="56" spans="1:7" ht="13.5" customHeight="1">
      <c r="A56" s="17">
        <v>54</v>
      </c>
      <c r="B56" s="11" t="s">
        <v>84</v>
      </c>
      <c r="C56" s="188">
        <v>216538</v>
      </c>
      <c r="D56" s="188"/>
      <c r="E56" s="188">
        <v>127656</v>
      </c>
      <c r="G56" s="19"/>
    </row>
    <row r="57" spans="1:7" ht="13.5" customHeight="1">
      <c r="A57" s="17">
        <v>55</v>
      </c>
      <c r="B57" s="11" t="s">
        <v>85</v>
      </c>
      <c r="C57" s="188">
        <v>1993823</v>
      </c>
      <c r="D57" s="188"/>
      <c r="E57" s="188">
        <v>9930133</v>
      </c>
      <c r="G57" s="19"/>
    </row>
    <row r="58" spans="1:7" ht="13.5" customHeight="1">
      <c r="A58" s="17">
        <v>56</v>
      </c>
      <c r="B58" s="11" t="s">
        <v>86</v>
      </c>
      <c r="C58" s="190">
        <f>SUM(C59:C61)</f>
        <v>463132</v>
      </c>
      <c r="D58" s="190">
        <f>SUM(D59:D61)</f>
        <v>0</v>
      </c>
      <c r="E58" s="190">
        <f>SUM(E59:E61)</f>
        <v>2232416</v>
      </c>
      <c r="G58" s="19"/>
    </row>
    <row r="59" spans="1:7" ht="13.5" customHeight="1">
      <c r="A59" s="17">
        <v>57</v>
      </c>
      <c r="B59" s="11" t="s">
        <v>87</v>
      </c>
      <c r="C59" s="188">
        <v>253692</v>
      </c>
      <c r="D59" s="188"/>
      <c r="E59" s="188">
        <v>2127492</v>
      </c>
      <c r="G59" s="19"/>
    </row>
    <row r="60" spans="1:7" ht="13.5" customHeight="1">
      <c r="A60" s="17">
        <v>58</v>
      </c>
      <c r="B60" s="11" t="s">
        <v>88</v>
      </c>
      <c r="C60" s="188">
        <v>209440</v>
      </c>
      <c r="D60" s="188"/>
      <c r="E60" s="188">
        <v>104924</v>
      </c>
      <c r="G60" s="19"/>
    </row>
    <row r="61" spans="1:7" ht="13.5" customHeight="1">
      <c r="A61" s="17">
        <v>59</v>
      </c>
      <c r="B61" s="11" t="s">
        <v>89</v>
      </c>
      <c r="C61" s="188"/>
      <c r="D61" s="188"/>
      <c r="E61" s="188"/>
      <c r="G61" s="19"/>
    </row>
    <row r="62" spans="1:7" ht="13.5" customHeight="1">
      <c r="A62" s="17">
        <v>60</v>
      </c>
      <c r="B62" s="11" t="s">
        <v>90</v>
      </c>
      <c r="C62" s="190">
        <f>C3+C31+C58</f>
        <v>37684727</v>
      </c>
      <c r="D62" s="190">
        <f>D3+D31+D58</f>
        <v>0</v>
      </c>
      <c r="E62" s="190">
        <f>E3+E31+E58</f>
        <v>41578526</v>
      </c>
      <c r="G62" s="19"/>
    </row>
    <row r="63" spans="1:7" ht="13.5" customHeight="1">
      <c r="A63" s="17">
        <v>61</v>
      </c>
      <c r="B63" s="11" t="s">
        <v>91</v>
      </c>
      <c r="C63" s="190">
        <f>C64+C66+C67+C68+C69+C70+C73</f>
        <v>8482451</v>
      </c>
      <c r="D63" s="190">
        <f>D64+D66+D67+D68+D69+D70+D73</f>
        <v>0</v>
      </c>
      <c r="E63" s="190">
        <f>E64+E66+E67+E68+E69+E70+E73</f>
        <v>9437392</v>
      </c>
      <c r="G63" s="19"/>
    </row>
    <row r="64" spans="1:7" ht="13.5" customHeight="1">
      <c r="A64" s="17">
        <v>62</v>
      </c>
      <c r="B64" s="11" t="s">
        <v>92</v>
      </c>
      <c r="C64" s="188">
        <v>338661</v>
      </c>
      <c r="D64" s="188"/>
      <c r="E64" s="188">
        <v>338661</v>
      </c>
      <c r="G64" s="19"/>
    </row>
    <row r="65" spans="1:7" ht="13.5" customHeight="1">
      <c r="A65" s="17">
        <v>63</v>
      </c>
      <c r="B65" s="11" t="s">
        <v>93</v>
      </c>
      <c r="C65" s="188"/>
      <c r="D65" s="188"/>
      <c r="E65" s="188"/>
      <c r="G65" s="19"/>
    </row>
    <row r="66" spans="1:7" ht="13.5" customHeight="1">
      <c r="A66" s="17">
        <v>64</v>
      </c>
      <c r="B66" s="11" t="s">
        <v>94</v>
      </c>
      <c r="C66" s="188"/>
      <c r="D66" s="188"/>
      <c r="E66" s="188"/>
      <c r="G66" s="19"/>
    </row>
    <row r="67" spans="1:7" ht="13.5" customHeight="1">
      <c r="A67" s="17">
        <v>65</v>
      </c>
      <c r="B67" s="11" t="s">
        <v>95</v>
      </c>
      <c r="C67" s="188"/>
      <c r="D67" s="188"/>
      <c r="E67" s="188"/>
      <c r="G67" s="19"/>
    </row>
    <row r="68" spans="1:7" ht="13.5" customHeight="1">
      <c r="A68" s="17">
        <v>66</v>
      </c>
      <c r="B68" s="11" t="s">
        <v>96</v>
      </c>
      <c r="C68" s="188">
        <v>6078693</v>
      </c>
      <c r="D68" s="188"/>
      <c r="E68" s="188">
        <v>7368564</v>
      </c>
      <c r="G68" s="19"/>
    </row>
    <row r="69" spans="1:7" ht="13.5" customHeight="1">
      <c r="A69" s="17">
        <v>67</v>
      </c>
      <c r="B69" s="11" t="s">
        <v>97</v>
      </c>
      <c r="C69" s="188">
        <v>36591</v>
      </c>
      <c r="D69" s="188"/>
      <c r="E69" s="188">
        <v>29226</v>
      </c>
      <c r="G69" s="19"/>
    </row>
    <row r="70" spans="1:7" ht="13.5" customHeight="1">
      <c r="A70" s="17">
        <v>68</v>
      </c>
      <c r="B70" s="11" t="s">
        <v>98</v>
      </c>
      <c r="C70" s="188"/>
      <c r="D70" s="188">
        <f>SUM(D71:D72)</f>
        <v>0</v>
      </c>
      <c r="E70" s="188"/>
      <c r="G70" s="19"/>
    </row>
    <row r="71" spans="1:7" ht="13.5" customHeight="1">
      <c r="A71" s="17">
        <v>69</v>
      </c>
      <c r="B71" s="11" t="s">
        <v>99</v>
      </c>
      <c r="C71" s="188"/>
      <c r="D71" s="188"/>
      <c r="E71" s="188"/>
      <c r="G71" s="19"/>
    </row>
    <row r="72" spans="1:7" ht="13.5" customHeight="1">
      <c r="A72" s="17">
        <v>70</v>
      </c>
      <c r="B72" s="11" t="s">
        <v>100</v>
      </c>
      <c r="C72" s="188"/>
      <c r="D72" s="188"/>
      <c r="E72" s="188"/>
      <c r="G72" s="19"/>
    </row>
    <row r="73" spans="1:7" ht="13.5" customHeight="1">
      <c r="A73" s="17">
        <v>71</v>
      </c>
      <c r="B73" s="11" t="s">
        <v>101</v>
      </c>
      <c r="C73" s="188">
        <v>2028506</v>
      </c>
      <c r="D73" s="188"/>
      <c r="E73" s="188">
        <v>1700941</v>
      </c>
      <c r="G73" s="19"/>
    </row>
    <row r="74" spans="1:7" ht="13.5" customHeight="1">
      <c r="A74" s="17">
        <v>72</v>
      </c>
      <c r="B74" s="11" t="s">
        <v>102</v>
      </c>
      <c r="C74" s="190">
        <f>SUM(C75:C77)</f>
        <v>760542</v>
      </c>
      <c r="D74" s="190">
        <f>SUM(D75:D77)</f>
        <v>0</v>
      </c>
      <c r="E74" s="190">
        <f>SUM(E75:E77)</f>
        <v>760542</v>
      </c>
      <c r="G74" s="19"/>
    </row>
    <row r="75" spans="1:7" ht="13.5" customHeight="1">
      <c r="A75" s="17">
        <v>73</v>
      </c>
      <c r="B75" s="11" t="s">
        <v>103</v>
      </c>
      <c r="C75" s="188">
        <v>760542</v>
      </c>
      <c r="D75" s="188"/>
      <c r="E75" s="188">
        <v>760542</v>
      </c>
      <c r="G75" s="19"/>
    </row>
    <row r="76" spans="1:7" ht="13.5" customHeight="1">
      <c r="A76" s="17">
        <v>74</v>
      </c>
      <c r="B76" s="11" t="s">
        <v>104</v>
      </c>
      <c r="C76" s="188"/>
      <c r="D76" s="188"/>
      <c r="E76" s="188"/>
      <c r="G76" s="19"/>
    </row>
    <row r="77" spans="1:7" ht="13.5" customHeight="1">
      <c r="A77" s="17">
        <v>75</v>
      </c>
      <c r="B77" s="11" t="s">
        <v>105</v>
      </c>
      <c r="C77" s="188"/>
      <c r="D77" s="188"/>
      <c r="E77" s="188"/>
      <c r="G77" s="19"/>
    </row>
    <row r="78" spans="1:7" ht="13.5" customHeight="1">
      <c r="A78" s="17">
        <v>76</v>
      </c>
      <c r="B78" s="11" t="s">
        <v>106</v>
      </c>
      <c r="C78" s="190">
        <f>C79+C84+C94</f>
        <v>26969909</v>
      </c>
      <c r="D78" s="190">
        <f>D79+D84+D94</f>
        <v>0</v>
      </c>
      <c r="E78" s="190">
        <f>E79+E84+E94</f>
        <v>29435065</v>
      </c>
      <c r="G78" s="19"/>
    </row>
    <row r="79" spans="1:7" ht="13.5" customHeight="1">
      <c r="A79" s="17">
        <v>77</v>
      </c>
      <c r="B79" s="11" t="s">
        <v>107</v>
      </c>
      <c r="C79" s="190">
        <f>SUM(C80:C83)</f>
        <v>0</v>
      </c>
      <c r="D79" s="190">
        <f>SUM(D80:D83)</f>
        <v>0</v>
      </c>
      <c r="E79" s="190">
        <f>SUM(E80:E83)</f>
        <v>0</v>
      </c>
      <c r="G79" s="19"/>
    </row>
    <row r="80" spans="1:7" ht="13.5" customHeight="1">
      <c r="A80" s="17">
        <v>78</v>
      </c>
      <c r="B80" s="11" t="s">
        <v>108</v>
      </c>
      <c r="C80" s="188"/>
      <c r="D80" s="188"/>
      <c r="E80" s="188"/>
      <c r="G80" s="19"/>
    </row>
    <row r="81" spans="1:12" ht="13.5" customHeight="1">
      <c r="A81" s="17">
        <v>79</v>
      </c>
      <c r="B81" s="11" t="s">
        <v>1473</v>
      </c>
      <c r="C81" s="188"/>
      <c r="D81" s="188"/>
      <c r="E81" s="188"/>
      <c r="G81" s="19"/>
    </row>
    <row r="82" spans="1:12" ht="13.5" customHeight="1">
      <c r="A82" s="17">
        <v>80</v>
      </c>
      <c r="B82" s="11" t="s">
        <v>1467</v>
      </c>
      <c r="C82" s="188"/>
      <c r="D82" s="188"/>
      <c r="E82" s="188"/>
      <c r="G82" s="19"/>
    </row>
    <row r="83" spans="1:12" ht="13.5" customHeight="1">
      <c r="A83" s="17">
        <v>81</v>
      </c>
      <c r="B83" s="11" t="s">
        <v>109</v>
      </c>
      <c r="C83" s="188"/>
      <c r="D83" s="188"/>
      <c r="E83" s="188"/>
      <c r="G83" s="19"/>
    </row>
    <row r="84" spans="1:12" ht="13.5" customHeight="1">
      <c r="A84" s="17">
        <v>82</v>
      </c>
      <c r="B84" s="11" t="s">
        <v>110</v>
      </c>
      <c r="C84" s="190">
        <f>SUM(C85:C93)</f>
        <v>7138632</v>
      </c>
      <c r="D84" s="190">
        <f>SUM(D85:D93)</f>
        <v>0</v>
      </c>
      <c r="E84" s="190">
        <f>SUM(E85:E93)</f>
        <v>7177807</v>
      </c>
      <c r="G84" s="19"/>
    </row>
    <row r="85" spans="1:12" ht="13.5" customHeight="1">
      <c r="A85" s="17">
        <v>83</v>
      </c>
      <c r="B85" s="11" t="s">
        <v>111</v>
      </c>
      <c r="C85" s="188"/>
      <c r="D85" s="188"/>
      <c r="E85" s="188"/>
      <c r="G85" s="19"/>
    </row>
    <row r="86" spans="1:12" ht="13.5" customHeight="1">
      <c r="A86" s="17">
        <v>84</v>
      </c>
      <c r="B86" s="11" t="s">
        <v>112</v>
      </c>
      <c r="C86" s="188"/>
      <c r="D86" s="188"/>
      <c r="E86" s="188"/>
      <c r="G86" s="19"/>
    </row>
    <row r="87" spans="1:12" ht="13.5" customHeight="1">
      <c r="A87" s="17">
        <v>85</v>
      </c>
      <c r="B87" s="11" t="s">
        <v>113</v>
      </c>
      <c r="C87" s="188">
        <v>7000000</v>
      </c>
      <c r="D87" s="188"/>
      <c r="E87" s="188">
        <v>7000000</v>
      </c>
      <c r="G87" s="19"/>
    </row>
    <row r="88" spans="1:12" ht="13.5" customHeight="1">
      <c r="A88" s="17">
        <v>86</v>
      </c>
      <c r="B88" s="11" t="s">
        <v>114</v>
      </c>
      <c r="C88" s="188"/>
      <c r="D88" s="188"/>
      <c r="E88" s="188"/>
      <c r="G88" s="19"/>
    </row>
    <row r="89" spans="1:12" ht="13.5" customHeight="1">
      <c r="A89" s="17">
        <v>87</v>
      </c>
      <c r="B89" s="11" t="s">
        <v>115</v>
      </c>
      <c r="C89" s="188"/>
      <c r="D89" s="188"/>
      <c r="E89" s="188"/>
      <c r="G89" s="19"/>
    </row>
    <row r="90" spans="1:12" ht="13.5" customHeight="1">
      <c r="A90" s="17">
        <v>88</v>
      </c>
      <c r="B90" s="11" t="s">
        <v>116</v>
      </c>
      <c r="C90" s="188"/>
      <c r="D90" s="188"/>
      <c r="E90" s="188"/>
      <c r="G90" s="19"/>
    </row>
    <row r="91" spans="1:12" ht="13.5" customHeight="1">
      <c r="A91" s="17">
        <v>89</v>
      </c>
      <c r="B91" s="11" t="s">
        <v>1468</v>
      </c>
      <c r="C91" s="188"/>
      <c r="D91" s="188"/>
      <c r="E91" s="188"/>
      <c r="G91" s="19"/>
    </row>
    <row r="92" spans="1:12" ht="13.5" customHeight="1">
      <c r="A92" s="17">
        <v>90</v>
      </c>
      <c r="B92" s="11" t="s">
        <v>1469</v>
      </c>
      <c r="C92" s="188"/>
      <c r="D92" s="188"/>
      <c r="E92" s="188"/>
      <c r="G92" s="19"/>
    </row>
    <row r="93" spans="1:12" ht="13.5" customHeight="1">
      <c r="A93" s="17">
        <v>91</v>
      </c>
      <c r="B93" s="11" t="s">
        <v>118</v>
      </c>
      <c r="C93" s="188">
        <v>138632</v>
      </c>
      <c r="D93" s="188"/>
      <c r="E93" s="188">
        <v>177807</v>
      </c>
      <c r="G93" s="19"/>
      <c r="I93" s="380"/>
      <c r="J93" s="380"/>
      <c r="K93" s="380"/>
      <c r="L93" s="380"/>
    </row>
    <row r="94" spans="1:12" ht="13.5" customHeight="1">
      <c r="A94" s="17">
        <v>92</v>
      </c>
      <c r="B94" s="11" t="s">
        <v>119</v>
      </c>
      <c r="C94" s="190">
        <f>SUM(C95:C106)-C96</f>
        <v>19831277</v>
      </c>
      <c r="D94" s="190">
        <f>SUM(D95:D106)-D96</f>
        <v>0</v>
      </c>
      <c r="E94" s="190">
        <f>SUM(E95:E106)-E96</f>
        <v>22257258</v>
      </c>
      <c r="G94" s="19"/>
      <c r="H94" s="381"/>
      <c r="I94" s="382"/>
      <c r="J94" s="382"/>
      <c r="K94" s="382"/>
      <c r="L94" s="382"/>
    </row>
    <row r="95" spans="1:12" ht="13.5" customHeight="1">
      <c r="A95" s="17">
        <v>93</v>
      </c>
      <c r="B95" s="11" t="s">
        <v>120</v>
      </c>
      <c r="C95" s="188"/>
      <c r="D95" s="188"/>
      <c r="E95" s="188"/>
      <c r="G95" s="19"/>
      <c r="I95" s="380"/>
      <c r="J95" s="380"/>
      <c r="K95" s="380"/>
      <c r="L95" s="380"/>
    </row>
    <row r="96" spans="1:12" ht="13.5" customHeight="1">
      <c r="A96" s="17">
        <v>94</v>
      </c>
      <c r="B96" s="11" t="s">
        <v>121</v>
      </c>
      <c r="C96" s="188"/>
      <c r="D96" s="188"/>
      <c r="E96" s="188"/>
      <c r="G96" s="19"/>
      <c r="I96" s="380"/>
      <c r="J96" s="380"/>
      <c r="K96" s="380"/>
      <c r="L96" s="380"/>
    </row>
    <row r="97" spans="1:13" ht="13.5" customHeight="1">
      <c r="A97" s="17">
        <v>95</v>
      </c>
      <c r="B97" s="11" t="s">
        <v>122</v>
      </c>
      <c r="C97" s="188">
        <v>0</v>
      </c>
      <c r="D97" s="188"/>
      <c r="E97" s="188">
        <v>0</v>
      </c>
      <c r="G97" s="19"/>
      <c r="I97" s="380"/>
      <c r="J97" s="380"/>
      <c r="K97" s="380"/>
      <c r="L97" s="380"/>
    </row>
    <row r="98" spans="1:13" ht="13.5" customHeight="1">
      <c r="A98" s="17">
        <v>96</v>
      </c>
      <c r="B98" s="11" t="s">
        <v>123</v>
      </c>
      <c r="C98" s="188">
        <v>20133</v>
      </c>
      <c r="D98" s="188"/>
      <c r="E98" s="188">
        <v>34629</v>
      </c>
      <c r="G98" s="19"/>
      <c r="H98" s="380"/>
      <c r="I98" s="380"/>
      <c r="J98" s="380"/>
      <c r="K98" s="380"/>
      <c r="L98" s="380"/>
      <c r="M98" s="380"/>
    </row>
    <row r="99" spans="1:13" ht="13.5" customHeight="1">
      <c r="A99" s="17">
        <v>97</v>
      </c>
      <c r="B99" s="11" t="s">
        <v>124</v>
      </c>
      <c r="C99" s="188">
        <v>18689912</v>
      </c>
      <c r="D99" s="188"/>
      <c r="E99" s="188">
        <v>20978413</v>
      </c>
      <c r="G99" s="19"/>
      <c r="H99" s="380"/>
      <c r="I99" s="380"/>
      <c r="J99" s="380"/>
      <c r="K99" s="380"/>
      <c r="L99" s="380"/>
      <c r="M99" s="380"/>
    </row>
    <row r="100" spans="1:13" ht="13.5" customHeight="1">
      <c r="A100" s="17">
        <v>98</v>
      </c>
      <c r="B100" s="11" t="s">
        <v>125</v>
      </c>
      <c r="C100" s="188"/>
      <c r="D100" s="188"/>
      <c r="E100" s="188"/>
      <c r="G100" s="19"/>
      <c r="H100" s="380"/>
      <c r="I100" s="380"/>
      <c r="J100" s="380"/>
      <c r="K100" s="380"/>
      <c r="L100" s="380"/>
      <c r="M100" s="380"/>
    </row>
    <row r="101" spans="1:13" ht="13.5" customHeight="1">
      <c r="A101" s="17">
        <v>99</v>
      </c>
      <c r="B101" s="11" t="s">
        <v>126</v>
      </c>
      <c r="C101" s="188"/>
      <c r="D101" s="188"/>
      <c r="E101" s="188"/>
      <c r="G101" s="19"/>
      <c r="H101" s="380"/>
      <c r="I101" s="380"/>
      <c r="J101" s="380"/>
      <c r="K101" s="380"/>
      <c r="L101" s="380"/>
      <c r="M101" s="380"/>
    </row>
    <row r="102" spans="1:13" ht="13.5" customHeight="1">
      <c r="A102" s="17">
        <v>100</v>
      </c>
      <c r="B102" s="11" t="s">
        <v>1472</v>
      </c>
      <c r="C102" s="188">
        <v>699</v>
      </c>
      <c r="D102" s="188"/>
      <c r="E102" s="188">
        <v>0</v>
      </c>
      <c r="G102" s="19"/>
      <c r="H102" s="380"/>
      <c r="I102" s="380"/>
      <c r="J102" s="380"/>
      <c r="K102" s="380"/>
      <c r="L102" s="380"/>
      <c r="M102" s="380"/>
    </row>
    <row r="103" spans="1:13" ht="13.5" customHeight="1">
      <c r="A103" s="17">
        <v>101</v>
      </c>
      <c r="B103" s="11" t="s">
        <v>1471</v>
      </c>
      <c r="C103" s="188"/>
      <c r="D103" s="188"/>
      <c r="E103" s="188"/>
      <c r="G103" s="19"/>
      <c r="H103" s="380"/>
      <c r="I103" s="380"/>
      <c r="J103" s="380"/>
      <c r="K103" s="380"/>
      <c r="L103" s="380"/>
      <c r="M103" s="380"/>
    </row>
    <row r="104" spans="1:13" ht="13.5" customHeight="1">
      <c r="A104" s="17">
        <v>102</v>
      </c>
      <c r="B104" s="11" t="s">
        <v>127</v>
      </c>
      <c r="C104" s="188">
        <v>1120533</v>
      </c>
      <c r="D104" s="188"/>
      <c r="E104" s="188">
        <v>1244216</v>
      </c>
      <c r="G104" s="19"/>
      <c r="H104" s="380"/>
      <c r="I104" s="380"/>
      <c r="J104" s="380"/>
      <c r="K104" s="380"/>
      <c r="L104" s="380"/>
      <c r="M104" s="380"/>
    </row>
    <row r="105" spans="1:13" ht="13.5" customHeight="1">
      <c r="A105" s="17">
        <v>103</v>
      </c>
      <c r="B105" s="11" t="s">
        <v>128</v>
      </c>
      <c r="C105" s="188"/>
      <c r="D105" s="188"/>
      <c r="E105" s="188"/>
      <c r="G105" s="19"/>
      <c r="H105" s="380"/>
      <c r="I105" s="380"/>
      <c r="J105" s="380"/>
      <c r="K105" s="380"/>
      <c r="L105" s="380"/>
      <c r="M105" s="380"/>
    </row>
    <row r="106" spans="1:13" ht="13.5" customHeight="1">
      <c r="A106" s="17">
        <v>104</v>
      </c>
      <c r="B106" s="11" t="s">
        <v>129</v>
      </c>
      <c r="C106" s="188"/>
      <c r="D106" s="188"/>
      <c r="E106" s="188"/>
      <c r="G106" s="19"/>
      <c r="H106" s="380"/>
      <c r="I106" s="380"/>
      <c r="J106" s="380"/>
      <c r="K106" s="380"/>
      <c r="L106" s="380"/>
      <c r="M106" s="380"/>
    </row>
    <row r="107" spans="1:13" ht="13.5" customHeight="1">
      <c r="A107" s="17">
        <v>105</v>
      </c>
      <c r="B107" s="11" t="s">
        <v>130</v>
      </c>
      <c r="C107" s="190">
        <f>SUM(C108:C110)</f>
        <v>1471825</v>
      </c>
      <c r="D107" s="190">
        <f>SUM(D108:D110)</f>
        <v>0</v>
      </c>
      <c r="E107" s="190">
        <f>SUM(E108:E110)</f>
        <v>1945527</v>
      </c>
      <c r="G107" s="19"/>
      <c r="H107" s="380"/>
      <c r="I107" s="380"/>
      <c r="J107" s="380"/>
      <c r="K107" s="380"/>
      <c r="L107" s="380"/>
      <c r="M107" s="380"/>
    </row>
    <row r="108" spans="1:13" ht="13.5" customHeight="1">
      <c r="A108" s="17">
        <v>106</v>
      </c>
      <c r="B108" s="11" t="s">
        <v>131</v>
      </c>
      <c r="C108" s="188">
        <v>0</v>
      </c>
      <c r="D108" s="188"/>
      <c r="E108" s="188"/>
      <c r="G108" s="19"/>
    </row>
    <row r="109" spans="1:13" ht="13.5" customHeight="1">
      <c r="A109" s="17">
        <v>107</v>
      </c>
      <c r="B109" s="11" t="s">
        <v>132</v>
      </c>
      <c r="C109" s="188">
        <v>812333</v>
      </c>
      <c r="D109" s="188"/>
      <c r="E109" s="188">
        <v>1380714</v>
      </c>
      <c r="G109" s="19"/>
    </row>
    <row r="110" spans="1:13" ht="13.5" customHeight="1">
      <c r="A110" s="17">
        <v>108</v>
      </c>
      <c r="B110" s="11" t="s">
        <v>133</v>
      </c>
      <c r="C110" s="188">
        <v>659492</v>
      </c>
      <c r="D110" s="188"/>
      <c r="E110" s="188">
        <v>564813</v>
      </c>
      <c r="G110" s="19"/>
    </row>
    <row r="111" spans="1:13" ht="13.5" customHeight="1">
      <c r="A111" s="17">
        <v>109</v>
      </c>
      <c r="B111" s="11" t="s">
        <v>134</v>
      </c>
      <c r="C111" s="190">
        <f>C63+C74+C78+C107</f>
        <v>37684727</v>
      </c>
      <c r="D111" s="190">
        <f>D63+D74+D78+D107</f>
        <v>0</v>
      </c>
      <c r="E111" s="190">
        <f>E63+E74+E78+E107</f>
        <v>41578526</v>
      </c>
      <c r="G111" s="19">
        <f>E111-E62</f>
        <v>0</v>
      </c>
    </row>
    <row r="112" spans="1:13" ht="13.5" customHeight="1">
      <c r="A112" s="17"/>
      <c r="B112" s="11"/>
      <c r="C112" s="20"/>
      <c r="D112" s="20"/>
      <c r="E112" s="20"/>
      <c r="F112" s="21"/>
      <c r="G112" s="19"/>
    </row>
    <row r="113" spans="1:11" ht="13.5" customHeight="1">
      <c r="A113" s="14" t="s">
        <v>135</v>
      </c>
      <c r="B113" s="11"/>
      <c r="C113" s="20"/>
      <c r="D113" s="20"/>
      <c r="E113" s="20"/>
      <c r="F113" s="21"/>
      <c r="G113" s="19"/>
    </row>
    <row r="114" spans="1:11" ht="13.5" customHeight="1">
      <c r="C114" s="16" t="s">
        <v>1591</v>
      </c>
      <c r="D114" s="16"/>
      <c r="E114" s="16" t="s">
        <v>1592</v>
      </c>
    </row>
    <row r="115" spans="1:11" ht="13.5" customHeight="1">
      <c r="A115" s="17">
        <v>1</v>
      </c>
      <c r="B115" s="11" t="s">
        <v>136</v>
      </c>
      <c r="C115" s="193">
        <v>88680583</v>
      </c>
      <c r="D115" s="193"/>
      <c r="E115" s="193">
        <v>54494502</v>
      </c>
      <c r="F115" s="22"/>
      <c r="H115" s="380"/>
      <c r="I115" s="450"/>
      <c r="J115" s="380"/>
      <c r="K115" s="380"/>
    </row>
    <row r="116" spans="1:11" ht="13.5" customHeight="1">
      <c r="A116" s="17">
        <v>2</v>
      </c>
      <c r="B116" s="11" t="s">
        <v>137</v>
      </c>
      <c r="C116" s="193"/>
      <c r="D116" s="193"/>
      <c r="E116" s="193"/>
      <c r="F116" s="22"/>
      <c r="G116" s="381"/>
      <c r="H116" s="382"/>
      <c r="I116" s="450"/>
      <c r="J116" s="382"/>
      <c r="K116" s="382"/>
    </row>
    <row r="117" spans="1:11" ht="13.5" customHeight="1">
      <c r="A117" s="17">
        <v>3</v>
      </c>
      <c r="B117" s="11" t="s">
        <v>138</v>
      </c>
      <c r="C117" s="190">
        <f>SUM(C115:C116)</f>
        <v>88680583</v>
      </c>
      <c r="D117" s="190">
        <f>ABS(SUM(D115:D116))</f>
        <v>0</v>
      </c>
      <c r="E117" s="190">
        <f>SUM(E115:E116)</f>
        <v>54494502</v>
      </c>
      <c r="F117" s="22"/>
      <c r="H117" s="380"/>
      <c r="I117" s="450"/>
      <c r="J117" s="380"/>
      <c r="K117" s="380"/>
    </row>
    <row r="118" spans="1:11" ht="13.5" customHeight="1">
      <c r="A118" s="17">
        <v>4</v>
      </c>
      <c r="B118" s="11" t="s">
        <v>139</v>
      </c>
      <c r="C118" s="188"/>
      <c r="D118" s="188"/>
      <c r="E118" s="188"/>
      <c r="F118" s="22"/>
      <c r="G118" s="381"/>
      <c r="H118" s="382"/>
      <c r="I118" s="450"/>
      <c r="J118" s="382"/>
      <c r="K118" s="382"/>
    </row>
    <row r="119" spans="1:11" ht="13.5" customHeight="1">
      <c r="A119" s="17">
        <v>5</v>
      </c>
      <c r="B119" s="11" t="s">
        <v>140</v>
      </c>
      <c r="C119" s="188"/>
      <c r="D119" s="188"/>
      <c r="E119" s="188"/>
      <c r="F119" s="22"/>
      <c r="H119" s="380"/>
      <c r="I119" s="450"/>
      <c r="J119" s="380"/>
      <c r="K119" s="380"/>
    </row>
    <row r="120" spans="1:11" ht="13.5" customHeight="1">
      <c r="A120" s="17">
        <v>6</v>
      </c>
      <c r="B120" s="11" t="s">
        <v>141</v>
      </c>
      <c r="C120" s="192">
        <f>SUM(C118:C119)</f>
        <v>0</v>
      </c>
      <c r="D120" s="192">
        <f>SUM(D118:D119)</f>
        <v>0</v>
      </c>
      <c r="E120" s="192">
        <f>SUM(E118:E119)</f>
        <v>0</v>
      </c>
      <c r="F120" s="22"/>
      <c r="H120" s="380"/>
      <c r="I120" s="451"/>
      <c r="J120" s="380"/>
      <c r="K120" s="380"/>
    </row>
    <row r="121" spans="1:11" ht="13.5" customHeight="1">
      <c r="A121" s="17">
        <v>7</v>
      </c>
      <c r="B121" s="11" t="s">
        <v>142</v>
      </c>
      <c r="C121" s="193">
        <v>12254376</v>
      </c>
      <c r="D121" s="193"/>
      <c r="E121" s="193">
        <v>7001352</v>
      </c>
      <c r="F121" s="22"/>
      <c r="H121" s="380"/>
      <c r="I121" s="450"/>
      <c r="J121" s="380"/>
      <c r="K121" s="380"/>
    </row>
    <row r="122" spans="1:11" ht="13.5" customHeight="1">
      <c r="A122" s="17">
        <v>8</v>
      </c>
      <c r="B122" s="11" t="s">
        <v>143</v>
      </c>
      <c r="C122" s="193">
        <v>328045</v>
      </c>
      <c r="D122" s="193"/>
      <c r="E122" s="193"/>
      <c r="F122" s="22"/>
      <c r="H122" s="380"/>
      <c r="I122" s="450"/>
      <c r="J122" s="380"/>
      <c r="K122" s="380"/>
    </row>
    <row r="123" spans="1:11" ht="13.5" customHeight="1">
      <c r="A123" s="17">
        <v>9</v>
      </c>
      <c r="B123" s="11" t="s">
        <v>144</v>
      </c>
      <c r="C123" s="188">
        <v>617099</v>
      </c>
      <c r="D123" s="188"/>
      <c r="E123" s="188">
        <v>677893</v>
      </c>
      <c r="F123" s="22"/>
      <c r="H123" s="380"/>
      <c r="I123" s="450"/>
      <c r="J123" s="380"/>
      <c r="K123" s="380"/>
    </row>
    <row r="124" spans="1:11" ht="13.5" customHeight="1">
      <c r="A124" s="17">
        <v>10</v>
      </c>
      <c r="B124" s="11" t="s">
        <v>145</v>
      </c>
      <c r="C124" s="188">
        <v>6571575</v>
      </c>
      <c r="D124" s="188"/>
      <c r="E124" s="188">
        <v>3937019</v>
      </c>
      <c r="F124" s="22"/>
      <c r="G124" s="381"/>
      <c r="H124" s="382"/>
      <c r="I124" s="451"/>
      <c r="J124" s="382"/>
      <c r="K124" s="382"/>
    </row>
    <row r="125" spans="1:11" ht="13.5" customHeight="1">
      <c r="A125" s="17">
        <v>11</v>
      </c>
      <c r="B125" s="11" t="s">
        <v>146</v>
      </c>
      <c r="C125" s="188">
        <v>501732</v>
      </c>
      <c r="D125" s="188"/>
      <c r="E125" s="188">
        <v>368271</v>
      </c>
      <c r="F125" s="22"/>
      <c r="H125" s="380"/>
      <c r="I125" s="450"/>
      <c r="J125" s="380"/>
      <c r="K125" s="380"/>
    </row>
    <row r="126" spans="1:11" ht="13.5" customHeight="1">
      <c r="A126" s="17">
        <v>12</v>
      </c>
      <c r="B126" s="11" t="s">
        <v>147</v>
      </c>
      <c r="C126" s="193">
        <v>80390799</v>
      </c>
      <c r="D126" s="193"/>
      <c r="E126" s="193">
        <v>49539147</v>
      </c>
      <c r="F126" s="22"/>
      <c r="H126" s="380"/>
      <c r="I126" s="451"/>
      <c r="J126" s="380"/>
      <c r="K126" s="380"/>
    </row>
    <row r="127" spans="1:11" ht="13.5" customHeight="1">
      <c r="A127" s="17">
        <v>13</v>
      </c>
      <c r="B127" s="11" t="s">
        <v>148</v>
      </c>
      <c r="C127" s="193">
        <v>1088472</v>
      </c>
      <c r="D127" s="193"/>
      <c r="E127" s="193">
        <v>495229</v>
      </c>
      <c r="F127" s="22"/>
      <c r="H127" s="380"/>
      <c r="I127" s="450"/>
      <c r="J127" s="380"/>
      <c r="K127" s="380"/>
    </row>
    <row r="128" spans="1:11" ht="13.5" customHeight="1">
      <c r="A128" s="17">
        <v>14</v>
      </c>
      <c r="B128" s="11" t="s">
        <v>149</v>
      </c>
      <c r="C128" s="190">
        <f>SUM(C123:C127)</f>
        <v>89169677</v>
      </c>
      <c r="D128" s="190">
        <f>SUM(D123:D127)</f>
        <v>0</v>
      </c>
      <c r="E128" s="190">
        <f>SUM(E123:E127)</f>
        <v>55017559</v>
      </c>
      <c r="F128" s="22"/>
      <c r="G128" s="381"/>
      <c r="H128" s="382"/>
      <c r="I128" s="451"/>
      <c r="J128" s="382"/>
      <c r="K128" s="382"/>
    </row>
    <row r="129" spans="1:11" ht="13.5" customHeight="1">
      <c r="A129" s="17">
        <v>15</v>
      </c>
      <c r="B129" s="11" t="s">
        <v>150</v>
      </c>
      <c r="C129" s="188">
        <v>5164473</v>
      </c>
      <c r="D129" s="188"/>
      <c r="E129" s="188">
        <v>2748219</v>
      </c>
      <c r="F129" s="22"/>
      <c r="H129" s="380"/>
      <c r="I129" s="452"/>
      <c r="J129" s="380"/>
      <c r="K129" s="380"/>
    </row>
    <row r="130" spans="1:11" ht="13.5" customHeight="1">
      <c r="A130" s="17">
        <v>16</v>
      </c>
      <c r="B130" s="11" t="s">
        <v>151</v>
      </c>
      <c r="C130" s="188">
        <v>562877</v>
      </c>
      <c r="D130" s="188"/>
      <c r="E130" s="188">
        <v>241970</v>
      </c>
      <c r="F130" s="22"/>
      <c r="G130" s="381"/>
      <c r="H130" s="382"/>
      <c r="I130" s="382"/>
      <c r="J130" s="382"/>
      <c r="K130" s="382"/>
    </row>
    <row r="131" spans="1:11" ht="13.5" customHeight="1">
      <c r="A131" s="17">
        <v>17</v>
      </c>
      <c r="B131" s="11" t="s">
        <v>152</v>
      </c>
      <c r="C131" s="188">
        <v>749151</v>
      </c>
      <c r="D131" s="188"/>
      <c r="E131" s="188">
        <v>302460</v>
      </c>
      <c r="F131" s="22"/>
    </row>
    <row r="132" spans="1:11" ht="13.5" customHeight="1">
      <c r="A132" s="17">
        <v>18</v>
      </c>
      <c r="B132" s="11" t="s">
        <v>153</v>
      </c>
      <c r="C132" s="190">
        <f>SUM(C129:C131)</f>
        <v>6476501</v>
      </c>
      <c r="D132" s="190">
        <f>SUM(D129:D131)</f>
        <v>0</v>
      </c>
      <c r="E132" s="190">
        <f>SUM(E129:E131)</f>
        <v>3292649</v>
      </c>
      <c r="F132" s="22"/>
    </row>
    <row r="133" spans="1:11" ht="13.5" customHeight="1">
      <c r="A133" s="17">
        <v>19</v>
      </c>
      <c r="B133" s="11" t="s">
        <v>154</v>
      </c>
      <c r="C133" s="188">
        <v>1045248</v>
      </c>
      <c r="D133" s="188"/>
      <c r="E133" s="188">
        <v>648901</v>
      </c>
      <c r="F133" s="22"/>
    </row>
    <row r="134" spans="1:11" ht="13.5" customHeight="1">
      <c r="A134" s="17">
        <v>20</v>
      </c>
      <c r="B134" s="11" t="s">
        <v>155</v>
      </c>
      <c r="C134" s="193">
        <v>2192994</v>
      </c>
      <c r="D134" s="193"/>
      <c r="E134" s="193">
        <v>818629</v>
      </c>
      <c r="F134" s="22"/>
    </row>
    <row r="135" spans="1:11" ht="13.5" customHeight="1">
      <c r="A135" s="17">
        <v>21</v>
      </c>
      <c r="B135" s="11" t="s">
        <v>156</v>
      </c>
      <c r="C135" s="193">
        <v>249462</v>
      </c>
      <c r="D135" s="193"/>
      <c r="E135" s="193">
        <v>0</v>
      </c>
      <c r="F135" s="22"/>
    </row>
    <row r="136" spans="1:11" ht="13.5" customHeight="1">
      <c r="A136" s="17">
        <v>22</v>
      </c>
      <c r="B136" s="11" t="s">
        <v>157</v>
      </c>
      <c r="C136" s="190">
        <f>C117+C120+C121-C128-C132-C133-C134</f>
        <v>2050539</v>
      </c>
      <c r="D136" s="190">
        <f>D117+D120+D121-D128-D132-D133-D134</f>
        <v>0</v>
      </c>
      <c r="E136" s="190">
        <f>E117+E120+E121-E128-E132-E133-E134</f>
        <v>1718116</v>
      </c>
      <c r="F136" s="22"/>
    </row>
    <row r="137" spans="1:11" ht="13.5" customHeight="1">
      <c r="A137" s="17">
        <v>23</v>
      </c>
      <c r="B137" s="11" t="s">
        <v>158</v>
      </c>
      <c r="C137" s="193"/>
      <c r="D137" s="193"/>
      <c r="E137" s="193"/>
      <c r="F137" s="22"/>
    </row>
    <row r="138" spans="1:11" ht="13.5" customHeight="1">
      <c r="A138" s="17">
        <v>24</v>
      </c>
      <c r="B138" s="11" t="s">
        <v>159</v>
      </c>
      <c r="C138" s="193"/>
      <c r="D138" s="193"/>
      <c r="E138" s="193"/>
      <c r="F138" s="22"/>
      <c r="I138" s="450"/>
    </row>
    <row r="139" spans="1:11" ht="13.5" customHeight="1">
      <c r="A139" s="17">
        <v>25</v>
      </c>
      <c r="B139" s="11" t="s">
        <v>160</v>
      </c>
      <c r="C139" s="193"/>
      <c r="D139" s="193"/>
      <c r="E139" s="193"/>
      <c r="F139" s="22"/>
      <c r="I139" s="450"/>
    </row>
    <row r="140" spans="1:11" ht="13.5" customHeight="1">
      <c r="A140" s="17">
        <v>26</v>
      </c>
      <c r="B140" s="11" t="s">
        <v>161</v>
      </c>
      <c r="C140" s="193"/>
      <c r="D140" s="193"/>
      <c r="E140" s="193"/>
      <c r="F140" s="22"/>
      <c r="I140" s="451"/>
    </row>
    <row r="141" spans="1:11" ht="13.5" customHeight="1">
      <c r="A141" s="17">
        <v>27</v>
      </c>
      <c r="B141" s="11" t="s">
        <v>1470</v>
      </c>
      <c r="C141" s="193"/>
      <c r="D141" s="193">
        <v>0</v>
      </c>
      <c r="E141" s="193"/>
      <c r="F141" s="22"/>
      <c r="G141" s="16"/>
      <c r="I141" s="450"/>
    </row>
    <row r="142" spans="1:11" ht="13.5" customHeight="1">
      <c r="A142" s="17">
        <v>28</v>
      </c>
      <c r="B142" s="11" t="s">
        <v>162</v>
      </c>
      <c r="C142" s="193"/>
      <c r="D142" s="193"/>
      <c r="E142" s="193"/>
      <c r="F142" s="22"/>
      <c r="G142" s="16"/>
      <c r="I142" s="450"/>
    </row>
    <row r="143" spans="1:11" ht="13.5" customHeight="1">
      <c r="A143" s="17">
        <v>29</v>
      </c>
      <c r="B143" s="11" t="s">
        <v>163</v>
      </c>
      <c r="C143" s="193">
        <v>84074</v>
      </c>
      <c r="D143" s="193"/>
      <c r="E143" s="193">
        <v>195685</v>
      </c>
      <c r="F143" s="22"/>
      <c r="G143" s="16"/>
      <c r="I143" s="450"/>
    </row>
    <row r="144" spans="1:11" ht="13.5" customHeight="1">
      <c r="A144" s="17">
        <v>30</v>
      </c>
      <c r="B144" s="11" t="s">
        <v>159</v>
      </c>
      <c r="C144" s="193">
        <v>2000</v>
      </c>
      <c r="D144" s="193"/>
      <c r="E144" s="193">
        <v>92</v>
      </c>
      <c r="F144" s="22"/>
      <c r="G144" s="16"/>
      <c r="I144" s="451"/>
    </row>
    <row r="145" spans="1:11" ht="13.5" customHeight="1">
      <c r="A145" s="17">
        <v>31</v>
      </c>
      <c r="B145" s="11" t="s">
        <v>164</v>
      </c>
      <c r="C145" s="193">
        <v>269560</v>
      </c>
      <c r="D145" s="193"/>
      <c r="E145" s="193">
        <v>68852</v>
      </c>
      <c r="F145" s="22"/>
      <c r="G145" s="16"/>
      <c r="I145" s="452"/>
    </row>
    <row r="146" spans="1:11" ht="13.5" customHeight="1">
      <c r="A146" s="17">
        <v>32</v>
      </c>
      <c r="B146" s="11" t="s">
        <v>165</v>
      </c>
      <c r="C146" s="193"/>
      <c r="D146" s="193"/>
      <c r="E146" s="193"/>
      <c r="F146" s="22"/>
      <c r="G146" s="16"/>
      <c r="I146" s="450"/>
    </row>
    <row r="147" spans="1:11" ht="13.5" customHeight="1">
      <c r="A147" s="17">
        <v>33</v>
      </c>
      <c r="B147" s="11" t="s">
        <v>166</v>
      </c>
      <c r="C147" s="190">
        <f>C137+C139+C141+C143+C145</f>
        <v>353634</v>
      </c>
      <c r="D147" s="190">
        <f>D137+D139+D141+D143+D145</f>
        <v>0</v>
      </c>
      <c r="E147" s="190">
        <f>E137+E139+E141+E143+E145</f>
        <v>264537</v>
      </c>
      <c r="F147" s="22"/>
      <c r="G147" s="16"/>
      <c r="H147" s="380"/>
      <c r="I147" s="451"/>
      <c r="J147" s="380"/>
      <c r="K147" s="380"/>
    </row>
    <row r="148" spans="1:11" ht="13.5" customHeight="1">
      <c r="A148" s="17">
        <v>34</v>
      </c>
      <c r="B148" s="11" t="s">
        <v>167</v>
      </c>
      <c r="C148" s="193">
        <v>0</v>
      </c>
      <c r="D148" s="193"/>
      <c r="E148" s="193">
        <v>0</v>
      </c>
      <c r="F148" s="22"/>
      <c r="G148" s="16"/>
      <c r="H148" s="380"/>
      <c r="I148" s="452"/>
      <c r="J148" s="380"/>
      <c r="K148" s="380"/>
    </row>
    <row r="149" spans="1:11" ht="13.5" customHeight="1">
      <c r="A149" s="17">
        <v>35</v>
      </c>
      <c r="B149" s="11" t="s">
        <v>168</v>
      </c>
      <c r="C149" s="193"/>
      <c r="D149" s="193"/>
      <c r="E149" s="193"/>
      <c r="F149" s="22"/>
      <c r="G149" s="16"/>
      <c r="H149" s="382"/>
      <c r="I149" s="453"/>
      <c r="J149" s="382"/>
      <c r="K149" s="382"/>
    </row>
    <row r="150" spans="1:11" ht="13.5" customHeight="1">
      <c r="A150" s="17">
        <v>36</v>
      </c>
      <c r="B150" s="11" t="s">
        <v>169</v>
      </c>
      <c r="C150" s="193"/>
      <c r="D150" s="193"/>
      <c r="E150" s="193"/>
      <c r="F150" s="22"/>
      <c r="G150" s="16"/>
      <c r="H150" s="380"/>
      <c r="I150" s="380"/>
      <c r="J150" s="380"/>
      <c r="K150" s="380"/>
    </row>
    <row r="151" spans="1:11" ht="13.5" customHeight="1">
      <c r="A151" s="17">
        <v>37</v>
      </c>
      <c r="B151" s="11" t="s">
        <v>168</v>
      </c>
      <c r="C151" s="193"/>
      <c r="D151" s="193"/>
      <c r="E151" s="193"/>
      <c r="F151" s="22"/>
      <c r="G151" s="16"/>
      <c r="H151" s="380"/>
      <c r="I151" s="380"/>
      <c r="J151" s="380"/>
      <c r="K151" s="380"/>
    </row>
    <row r="152" spans="1:11" ht="13.5" customHeight="1">
      <c r="A152" s="17">
        <v>38</v>
      </c>
      <c r="B152" s="11" t="s">
        <v>170</v>
      </c>
      <c r="C152" s="193">
        <v>150556</v>
      </c>
      <c r="D152" s="193"/>
      <c r="E152" s="193">
        <v>180815</v>
      </c>
      <c r="F152" s="22"/>
      <c r="G152" s="16"/>
    </row>
    <row r="153" spans="1:11" ht="13.5" customHeight="1">
      <c r="A153" s="17">
        <v>39</v>
      </c>
      <c r="B153" s="11" t="s">
        <v>168</v>
      </c>
      <c r="C153" s="193"/>
      <c r="D153" s="193"/>
      <c r="E153" s="193"/>
      <c r="F153" s="22"/>
      <c r="G153" s="16"/>
    </row>
    <row r="154" spans="1:11" ht="13.5" customHeight="1">
      <c r="A154" s="17">
        <v>40</v>
      </c>
      <c r="B154" s="11" t="s">
        <v>171</v>
      </c>
      <c r="C154" s="193"/>
      <c r="D154" s="193"/>
      <c r="E154" s="193"/>
      <c r="F154" s="22"/>
      <c r="G154" s="16"/>
    </row>
    <row r="155" spans="1:11" ht="13.5" customHeight="1">
      <c r="A155" s="17">
        <v>41</v>
      </c>
      <c r="B155" s="11" t="s">
        <v>172</v>
      </c>
      <c r="C155" s="193">
        <v>79488</v>
      </c>
      <c r="D155" s="193"/>
      <c r="E155" s="193">
        <v>25091</v>
      </c>
      <c r="F155" s="22"/>
      <c r="G155" s="16"/>
    </row>
    <row r="156" spans="1:11" ht="13.5" customHeight="1">
      <c r="A156" s="17">
        <v>42</v>
      </c>
      <c r="B156" s="11" t="s">
        <v>165</v>
      </c>
      <c r="C156" s="193"/>
      <c r="D156" s="193"/>
      <c r="E156" s="193"/>
      <c r="F156" s="22"/>
      <c r="G156" s="16"/>
    </row>
    <row r="157" spans="1:11" ht="13.5" customHeight="1">
      <c r="A157" s="17">
        <v>43</v>
      </c>
      <c r="B157" s="11" t="s">
        <v>173</v>
      </c>
      <c r="C157" s="190">
        <f>C148+C150+C152+C154+C155</f>
        <v>230044</v>
      </c>
      <c r="D157" s="190">
        <f>D148+D150+D152+D154+D155</f>
        <v>0</v>
      </c>
      <c r="E157" s="190">
        <f>E148+E150+E152+E154+E155</f>
        <v>205906</v>
      </c>
      <c r="F157" s="22"/>
      <c r="G157" s="16"/>
    </row>
    <row r="158" spans="1:11" ht="13.5" customHeight="1">
      <c r="A158" s="17">
        <v>44</v>
      </c>
      <c r="B158" s="11" t="s">
        <v>174</v>
      </c>
      <c r="C158" s="190">
        <f>C147-C157</f>
        <v>123590</v>
      </c>
      <c r="D158" s="190">
        <f>D147-D157</f>
        <v>0</v>
      </c>
      <c r="E158" s="190">
        <f>E147-E157</f>
        <v>58631</v>
      </c>
      <c r="F158" s="22"/>
      <c r="G158" s="16"/>
    </row>
    <row r="159" spans="1:11" ht="13.5" customHeight="1">
      <c r="A159" s="17">
        <v>45</v>
      </c>
      <c r="B159" s="11" t="s">
        <v>175</v>
      </c>
      <c r="C159" s="190">
        <f>C136+C158</f>
        <v>2174129</v>
      </c>
      <c r="D159" s="190">
        <f>D136+D158</f>
        <v>0</v>
      </c>
      <c r="E159" s="190">
        <f>E136+E158</f>
        <v>1776747</v>
      </c>
      <c r="F159" s="22"/>
      <c r="G159" s="16"/>
    </row>
    <row r="160" spans="1:11" ht="13.5" customHeight="1">
      <c r="A160" s="17">
        <v>46</v>
      </c>
      <c r="B160" s="11" t="s">
        <v>176</v>
      </c>
      <c r="C160" s="193">
        <v>145623</v>
      </c>
      <c r="D160" s="193"/>
      <c r="E160" s="193">
        <v>75806</v>
      </c>
      <c r="F160" s="22"/>
      <c r="G160" s="16"/>
    </row>
    <row r="161" spans="1:7" ht="13.5" customHeight="1">
      <c r="A161" s="17">
        <v>47</v>
      </c>
      <c r="B161" s="11" t="s">
        <v>177</v>
      </c>
      <c r="C161" s="190">
        <f>C159-C160</f>
        <v>2028506</v>
      </c>
      <c r="D161" s="190">
        <f>D159-D160</f>
        <v>0</v>
      </c>
      <c r="E161" s="190">
        <f>E159-E160</f>
        <v>1700941</v>
      </c>
      <c r="F161" s="22"/>
      <c r="G161" s="16"/>
    </row>
    <row r="162" spans="1:7" ht="13.5" customHeight="1">
      <c r="C162" s="16"/>
      <c r="D162" s="16"/>
      <c r="E162" s="16"/>
    </row>
    <row r="163" spans="1:7" ht="13.5" customHeight="1">
      <c r="A163" s="14" t="s">
        <v>178</v>
      </c>
      <c r="C163" s="16"/>
      <c r="D163" s="16"/>
      <c r="E163" s="16"/>
    </row>
    <row r="164" spans="1:7" ht="13.5" customHeight="1">
      <c r="C164" s="16" t="s">
        <v>31</v>
      </c>
      <c r="D164" s="16"/>
      <c r="E164" s="16" t="s">
        <v>32</v>
      </c>
    </row>
    <row r="165" spans="1:7" ht="13.5" customHeight="1">
      <c r="A165" s="17">
        <v>1</v>
      </c>
      <c r="B165" s="23" t="s">
        <v>136</v>
      </c>
      <c r="C165" s="190">
        <f>C115</f>
        <v>88680583</v>
      </c>
      <c r="D165" s="190">
        <f t="shared" ref="C165:E167" si="0">D115</f>
        <v>0</v>
      </c>
      <c r="E165" s="190">
        <f t="shared" si="0"/>
        <v>54494502</v>
      </c>
      <c r="F165" s="22"/>
      <c r="G165" s="24"/>
    </row>
    <row r="166" spans="1:7" ht="13.5" customHeight="1">
      <c r="A166" s="17">
        <v>2</v>
      </c>
      <c r="B166" s="23" t="s">
        <v>137</v>
      </c>
      <c r="C166" s="190">
        <f t="shared" si="0"/>
        <v>0</v>
      </c>
      <c r="D166" s="190">
        <f t="shared" si="0"/>
        <v>0</v>
      </c>
      <c r="E166" s="190">
        <f t="shared" si="0"/>
        <v>0</v>
      </c>
      <c r="F166" s="22"/>
      <c r="G166" s="24"/>
    </row>
    <row r="167" spans="1:7" ht="13.5" customHeight="1">
      <c r="A167" s="17">
        <v>3</v>
      </c>
      <c r="B167" s="23" t="s">
        <v>138</v>
      </c>
      <c r="C167" s="190">
        <f t="shared" si="0"/>
        <v>88680583</v>
      </c>
      <c r="D167" s="190">
        <f t="shared" si="0"/>
        <v>0</v>
      </c>
      <c r="E167" s="190">
        <f t="shared" si="0"/>
        <v>54494502</v>
      </c>
      <c r="F167" s="22"/>
      <c r="G167" s="24"/>
    </row>
    <row r="168" spans="1:7" ht="13.5" customHeight="1">
      <c r="A168" s="17">
        <v>4</v>
      </c>
      <c r="B168" s="23" t="s">
        <v>179</v>
      </c>
      <c r="C168" s="188"/>
      <c r="D168" s="188"/>
      <c r="E168" s="188"/>
      <c r="F168" s="22"/>
      <c r="G168" s="24"/>
    </row>
    <row r="169" spans="1:7" ht="13.5" customHeight="1">
      <c r="A169" s="17">
        <v>5</v>
      </c>
      <c r="B169" s="23" t="s">
        <v>180</v>
      </c>
      <c r="C169" s="194">
        <f t="shared" ref="C169:E170" si="1">C126</f>
        <v>80390799</v>
      </c>
      <c r="D169" s="194">
        <f t="shared" si="1"/>
        <v>0</v>
      </c>
      <c r="E169" s="194">
        <f t="shared" si="1"/>
        <v>49539147</v>
      </c>
      <c r="F169" s="22"/>
      <c r="G169" s="24"/>
    </row>
    <row r="170" spans="1:7" ht="13.5" customHeight="1">
      <c r="A170" s="17">
        <v>6</v>
      </c>
      <c r="B170" s="23" t="s">
        <v>181</v>
      </c>
      <c r="C170" s="194">
        <f t="shared" si="1"/>
        <v>1088472</v>
      </c>
      <c r="D170" s="194">
        <f t="shared" si="1"/>
        <v>0</v>
      </c>
      <c r="E170" s="194">
        <f t="shared" si="1"/>
        <v>495229</v>
      </c>
      <c r="F170" s="22"/>
      <c r="G170" s="24"/>
    </row>
    <row r="171" spans="1:7" ht="13.5" customHeight="1">
      <c r="A171" s="17">
        <v>7</v>
      </c>
      <c r="B171" s="23" t="s">
        <v>182</v>
      </c>
      <c r="C171" s="190">
        <f>SUM(C168:C170)</f>
        <v>81479271</v>
      </c>
      <c r="D171" s="190">
        <f>SUM(D168:D170)</f>
        <v>0</v>
      </c>
      <c r="E171" s="190">
        <f>SUM(E168:E170)</f>
        <v>50034376</v>
      </c>
      <c r="F171" s="22"/>
      <c r="G171" s="24"/>
    </row>
    <row r="172" spans="1:7" ht="13.5" customHeight="1">
      <c r="A172" s="17">
        <v>8</v>
      </c>
      <c r="B172" s="23" t="s">
        <v>183</v>
      </c>
      <c r="C172" s="190">
        <f>C167-C171</f>
        <v>7201312</v>
      </c>
      <c r="D172" s="190">
        <f>D167-D171</f>
        <v>0</v>
      </c>
      <c r="E172" s="190">
        <f>E167-E171</f>
        <v>4460126</v>
      </c>
      <c r="F172" s="22"/>
      <c r="G172" s="24"/>
    </row>
    <row r="173" spans="1:7" ht="13.5" customHeight="1">
      <c r="A173" s="17">
        <v>9</v>
      </c>
      <c r="B173" s="23" t="s">
        <v>184</v>
      </c>
      <c r="C173" s="188"/>
      <c r="D173" s="188"/>
      <c r="E173" s="188"/>
      <c r="F173" s="22"/>
      <c r="G173" s="24"/>
    </row>
    <row r="174" spans="1:7" ht="13.5" customHeight="1">
      <c r="A174" s="17">
        <v>10</v>
      </c>
      <c r="B174" s="23" t="s">
        <v>185</v>
      </c>
      <c r="C174" s="188"/>
      <c r="D174" s="188"/>
      <c r="E174" s="188"/>
      <c r="F174" s="22"/>
      <c r="G174" s="24"/>
    </row>
    <row r="175" spans="1:7" ht="13.5" customHeight="1">
      <c r="A175" s="17">
        <v>11</v>
      </c>
      <c r="B175" s="23" t="s">
        <v>186</v>
      </c>
      <c r="C175" s="188">
        <v>10070851</v>
      </c>
      <c r="D175" s="188"/>
      <c r="E175" s="188">
        <v>10070851</v>
      </c>
      <c r="F175" s="22"/>
      <c r="G175" s="24"/>
    </row>
    <row r="176" spans="1:7" ht="13.5" customHeight="1">
      <c r="A176" s="17">
        <v>12</v>
      </c>
      <c r="B176" s="23" t="s">
        <v>187</v>
      </c>
      <c r="C176" s="190">
        <f>SUM(C173:C175)</f>
        <v>10070851</v>
      </c>
      <c r="D176" s="190">
        <f>SUM(D173:D175)</f>
        <v>0</v>
      </c>
      <c r="E176" s="190">
        <f>SUM(E173:E175)</f>
        <v>10070851</v>
      </c>
      <c r="F176" s="22"/>
      <c r="G176" s="24"/>
    </row>
    <row r="177" spans="1:7" ht="13.5" customHeight="1">
      <c r="A177" s="17">
        <v>13</v>
      </c>
      <c r="B177" s="23" t="s">
        <v>188</v>
      </c>
      <c r="C177" s="194">
        <f>C121</f>
        <v>12254376</v>
      </c>
      <c r="D177" s="194">
        <f t="shared" ref="D177:D178" si="2">D121</f>
        <v>0</v>
      </c>
      <c r="E177" s="194">
        <f>E121</f>
        <v>7001352</v>
      </c>
      <c r="F177" s="22"/>
      <c r="G177" s="24"/>
    </row>
    <row r="178" spans="1:7" ht="13.5" customHeight="1">
      <c r="A178" s="17">
        <v>14</v>
      </c>
      <c r="B178" s="23" t="s">
        <v>143</v>
      </c>
      <c r="C178" s="194">
        <f>C122</f>
        <v>328045</v>
      </c>
      <c r="D178" s="194">
        <f t="shared" si="2"/>
        <v>0</v>
      </c>
      <c r="E178" s="194">
        <f>E122</f>
        <v>0</v>
      </c>
      <c r="F178" s="22"/>
      <c r="G178" s="24"/>
    </row>
    <row r="179" spans="1:7" ht="13.5" customHeight="1">
      <c r="A179" s="17">
        <v>15</v>
      </c>
      <c r="B179" s="23" t="s">
        <v>189</v>
      </c>
      <c r="C179" s="194">
        <f t="shared" ref="C179:E180" si="3">C134</f>
        <v>2192994</v>
      </c>
      <c r="D179" s="194">
        <f t="shared" si="3"/>
        <v>0</v>
      </c>
      <c r="E179" s="194">
        <f t="shared" si="3"/>
        <v>818629</v>
      </c>
      <c r="F179" s="22"/>
      <c r="G179" s="24"/>
    </row>
    <row r="180" spans="1:7" ht="13.5" customHeight="1">
      <c r="A180" s="17">
        <v>16</v>
      </c>
      <c r="B180" s="23" t="s">
        <v>156</v>
      </c>
      <c r="C180" s="194">
        <f t="shared" si="3"/>
        <v>249462</v>
      </c>
      <c r="D180" s="194">
        <f t="shared" si="3"/>
        <v>0</v>
      </c>
      <c r="E180" s="194">
        <f t="shared" si="3"/>
        <v>0</v>
      </c>
      <c r="F180" s="22"/>
      <c r="G180" s="24"/>
    </row>
    <row r="181" spans="1:7" ht="13.5" customHeight="1">
      <c r="A181" s="17">
        <v>17</v>
      </c>
      <c r="B181" s="23" t="s">
        <v>190</v>
      </c>
      <c r="C181" s="190">
        <f>C172-C176+C177-C179</f>
        <v>7191843</v>
      </c>
      <c r="D181" s="190">
        <f>D172-D176+D177-D179</f>
        <v>0</v>
      </c>
      <c r="E181" s="190">
        <f>E172-E176+E177-E179</f>
        <v>571998</v>
      </c>
      <c r="F181" s="22"/>
      <c r="G181" s="24"/>
    </row>
    <row r="182" spans="1:7" ht="13.5" customHeight="1">
      <c r="A182" s="17">
        <v>18</v>
      </c>
      <c r="B182" s="23" t="s">
        <v>191</v>
      </c>
      <c r="C182" s="194">
        <f t="shared" ref="C182:C191" si="4">C137</f>
        <v>0</v>
      </c>
      <c r="D182" s="194">
        <f t="shared" ref="D182:D191" si="5">D137</f>
        <v>0</v>
      </c>
      <c r="E182" s="194">
        <f t="shared" ref="E182:E191" si="6">E137</f>
        <v>0</v>
      </c>
      <c r="F182" s="22"/>
      <c r="G182" s="24"/>
    </row>
    <row r="183" spans="1:7" ht="13.5" customHeight="1">
      <c r="A183" s="17">
        <v>19</v>
      </c>
      <c r="B183" s="23" t="s">
        <v>159</v>
      </c>
      <c r="C183" s="194">
        <f t="shared" si="4"/>
        <v>0</v>
      </c>
      <c r="D183" s="194">
        <f t="shared" si="5"/>
        <v>0</v>
      </c>
      <c r="E183" s="194">
        <f t="shared" si="6"/>
        <v>0</v>
      </c>
      <c r="F183" s="22"/>
      <c r="G183" s="24"/>
    </row>
    <row r="184" spans="1:7" ht="13.5" customHeight="1">
      <c r="A184" s="17">
        <v>20</v>
      </c>
      <c r="B184" s="23" t="s">
        <v>192</v>
      </c>
      <c r="C184" s="194">
        <f t="shared" si="4"/>
        <v>0</v>
      </c>
      <c r="D184" s="194">
        <f t="shared" si="5"/>
        <v>0</v>
      </c>
      <c r="E184" s="194">
        <f t="shared" si="6"/>
        <v>0</v>
      </c>
      <c r="F184" s="22"/>
      <c r="G184" s="24"/>
    </row>
    <row r="185" spans="1:7" ht="13.5" customHeight="1">
      <c r="A185" s="17">
        <v>21</v>
      </c>
      <c r="B185" s="23" t="s">
        <v>161</v>
      </c>
      <c r="C185" s="194">
        <f t="shared" si="4"/>
        <v>0</v>
      </c>
      <c r="D185" s="194">
        <f t="shared" si="5"/>
        <v>0</v>
      </c>
      <c r="E185" s="194">
        <f t="shared" si="6"/>
        <v>0</v>
      </c>
      <c r="F185" s="22"/>
      <c r="G185" s="24"/>
    </row>
    <row r="186" spans="1:7" ht="13.5" customHeight="1">
      <c r="A186" s="17">
        <v>22</v>
      </c>
      <c r="B186" s="23" t="s">
        <v>193</v>
      </c>
      <c r="C186" s="194">
        <f t="shared" si="4"/>
        <v>0</v>
      </c>
      <c r="D186" s="194">
        <f t="shared" si="5"/>
        <v>0</v>
      </c>
      <c r="E186" s="194">
        <f t="shared" si="6"/>
        <v>0</v>
      </c>
      <c r="F186" s="22"/>
      <c r="G186" s="24"/>
    </row>
    <row r="187" spans="1:7" ht="13.5" customHeight="1">
      <c r="A187" s="17">
        <v>23</v>
      </c>
      <c r="B187" s="23" t="s">
        <v>162</v>
      </c>
      <c r="C187" s="194">
        <f t="shared" si="4"/>
        <v>0</v>
      </c>
      <c r="D187" s="194">
        <f t="shared" si="5"/>
        <v>0</v>
      </c>
      <c r="E187" s="194">
        <f t="shared" si="6"/>
        <v>0</v>
      </c>
      <c r="F187" s="22"/>
      <c r="G187" s="24"/>
    </row>
    <row r="188" spans="1:7" ht="13.5" customHeight="1">
      <c r="A188" s="17">
        <v>24</v>
      </c>
      <c r="B188" s="23" t="s">
        <v>194</v>
      </c>
      <c r="C188" s="194">
        <f t="shared" si="4"/>
        <v>84074</v>
      </c>
      <c r="D188" s="194">
        <f t="shared" si="5"/>
        <v>0</v>
      </c>
      <c r="E188" s="194">
        <f t="shared" si="6"/>
        <v>195685</v>
      </c>
      <c r="F188" s="22"/>
      <c r="G188" s="24"/>
    </row>
    <row r="189" spans="1:7" ht="13.5" customHeight="1">
      <c r="A189" s="17">
        <v>25</v>
      </c>
      <c r="B189" s="23" t="s">
        <v>159</v>
      </c>
      <c r="C189" s="194">
        <f t="shared" si="4"/>
        <v>2000</v>
      </c>
      <c r="D189" s="194">
        <f t="shared" si="5"/>
        <v>0</v>
      </c>
      <c r="E189" s="194">
        <f t="shared" si="6"/>
        <v>92</v>
      </c>
      <c r="F189" s="22"/>
      <c r="G189" s="24"/>
    </row>
    <row r="190" spans="1:7" ht="13.5" customHeight="1">
      <c r="A190" s="17">
        <v>26</v>
      </c>
      <c r="B190" s="23" t="s">
        <v>195</v>
      </c>
      <c r="C190" s="194">
        <f t="shared" si="4"/>
        <v>269560</v>
      </c>
      <c r="D190" s="194">
        <f t="shared" si="5"/>
        <v>0</v>
      </c>
      <c r="E190" s="194">
        <f t="shared" si="6"/>
        <v>68852</v>
      </c>
      <c r="F190" s="22"/>
      <c r="G190" s="24"/>
    </row>
    <row r="191" spans="1:7" ht="13.5" customHeight="1">
      <c r="A191" s="17">
        <v>27</v>
      </c>
      <c r="B191" s="23" t="s">
        <v>165</v>
      </c>
      <c r="C191" s="194">
        <f t="shared" si="4"/>
        <v>0</v>
      </c>
      <c r="D191" s="194">
        <f t="shared" si="5"/>
        <v>0</v>
      </c>
      <c r="E191" s="194">
        <f t="shared" si="6"/>
        <v>0</v>
      </c>
      <c r="F191" s="22"/>
      <c r="G191" s="24"/>
    </row>
    <row r="192" spans="1:7" ht="13.5" customHeight="1">
      <c r="A192" s="17">
        <v>28</v>
      </c>
      <c r="B192" s="23" t="s">
        <v>196</v>
      </c>
      <c r="C192" s="190">
        <f>C182+C184+C186+C188+C190</f>
        <v>353634</v>
      </c>
      <c r="D192" s="190">
        <f>D182+D184+D186+D188+D190</f>
        <v>0</v>
      </c>
      <c r="E192" s="190">
        <f>E182+E184+E186+E188+E190</f>
        <v>264537</v>
      </c>
      <c r="F192" s="22"/>
      <c r="G192" s="24"/>
    </row>
    <row r="193" spans="1:7" ht="13.5" customHeight="1">
      <c r="A193" s="17">
        <v>29</v>
      </c>
      <c r="B193" s="23" t="s">
        <v>197</v>
      </c>
      <c r="C193" s="194">
        <f t="shared" ref="C193:C200" si="7">C148</f>
        <v>0</v>
      </c>
      <c r="D193" s="194">
        <f t="shared" ref="D193:D201" si="8">D148</f>
        <v>0</v>
      </c>
      <c r="E193" s="194">
        <f t="shared" ref="E193:E201" si="9">E148</f>
        <v>0</v>
      </c>
      <c r="F193" s="22"/>
      <c r="G193" s="24"/>
    </row>
    <row r="194" spans="1:7" ht="13.5" customHeight="1">
      <c r="A194" s="17">
        <v>30</v>
      </c>
      <c r="B194" s="23" t="s">
        <v>168</v>
      </c>
      <c r="C194" s="194">
        <f t="shared" si="7"/>
        <v>0</v>
      </c>
      <c r="D194" s="194">
        <f t="shared" si="8"/>
        <v>0</v>
      </c>
      <c r="E194" s="194">
        <f t="shared" si="9"/>
        <v>0</v>
      </c>
      <c r="F194" s="22"/>
      <c r="G194" s="24"/>
    </row>
    <row r="195" spans="1:7" ht="13.5" customHeight="1">
      <c r="A195" s="17">
        <v>31</v>
      </c>
      <c r="B195" s="23" t="s">
        <v>198</v>
      </c>
      <c r="C195" s="194">
        <f t="shared" si="7"/>
        <v>0</v>
      </c>
      <c r="D195" s="194">
        <f t="shared" si="8"/>
        <v>0</v>
      </c>
      <c r="E195" s="194">
        <f t="shared" si="9"/>
        <v>0</v>
      </c>
      <c r="F195" s="22"/>
      <c r="G195" s="24"/>
    </row>
    <row r="196" spans="1:7" ht="13.5" customHeight="1">
      <c r="A196" s="17">
        <v>32</v>
      </c>
      <c r="B196" s="23" t="s">
        <v>168</v>
      </c>
      <c r="C196" s="194">
        <f t="shared" si="7"/>
        <v>0</v>
      </c>
      <c r="D196" s="194">
        <f t="shared" si="8"/>
        <v>0</v>
      </c>
      <c r="E196" s="194">
        <f t="shared" si="9"/>
        <v>0</v>
      </c>
      <c r="F196" s="22"/>
      <c r="G196" s="24"/>
    </row>
    <row r="197" spans="1:7" ht="13.5" customHeight="1">
      <c r="A197" s="17">
        <v>33</v>
      </c>
      <c r="B197" s="23" t="s">
        <v>199</v>
      </c>
      <c r="C197" s="194">
        <f t="shared" si="7"/>
        <v>150556</v>
      </c>
      <c r="D197" s="194">
        <f t="shared" si="8"/>
        <v>0</v>
      </c>
      <c r="E197" s="194">
        <f t="shared" si="9"/>
        <v>180815</v>
      </c>
      <c r="F197" s="22"/>
      <c r="G197" s="24"/>
    </row>
    <row r="198" spans="1:7" ht="13.5" customHeight="1">
      <c r="A198" s="17">
        <v>34</v>
      </c>
      <c r="B198" s="23" t="s">
        <v>168</v>
      </c>
      <c r="C198" s="194">
        <f t="shared" si="7"/>
        <v>0</v>
      </c>
      <c r="D198" s="194">
        <f t="shared" si="8"/>
        <v>0</v>
      </c>
      <c r="E198" s="194">
        <f t="shared" si="9"/>
        <v>0</v>
      </c>
      <c r="F198" s="22"/>
      <c r="G198" s="24"/>
    </row>
    <row r="199" spans="1:7" ht="13.5" customHeight="1">
      <c r="A199" s="17">
        <v>35</v>
      </c>
      <c r="B199" s="23" t="s">
        <v>200</v>
      </c>
      <c r="C199" s="194">
        <f t="shared" si="7"/>
        <v>0</v>
      </c>
      <c r="D199" s="194">
        <f t="shared" si="8"/>
        <v>0</v>
      </c>
      <c r="E199" s="194">
        <f t="shared" si="9"/>
        <v>0</v>
      </c>
      <c r="F199" s="22"/>
      <c r="G199" s="24"/>
    </row>
    <row r="200" spans="1:7" ht="13.5" customHeight="1">
      <c r="A200" s="17">
        <v>36</v>
      </c>
      <c r="B200" s="23" t="s">
        <v>201</v>
      </c>
      <c r="C200" s="194">
        <f t="shared" si="7"/>
        <v>79488</v>
      </c>
      <c r="D200" s="194">
        <f t="shared" si="8"/>
        <v>0</v>
      </c>
      <c r="E200" s="194">
        <f t="shared" si="9"/>
        <v>25091</v>
      </c>
      <c r="F200" s="22"/>
      <c r="G200" s="24"/>
    </row>
    <row r="201" spans="1:7" ht="13.5" customHeight="1">
      <c r="A201" s="17">
        <v>37</v>
      </c>
      <c r="B201" s="23" t="s">
        <v>165</v>
      </c>
      <c r="C201" s="194">
        <f>C156</f>
        <v>0</v>
      </c>
      <c r="D201" s="194">
        <f t="shared" si="8"/>
        <v>0</v>
      </c>
      <c r="E201" s="194">
        <f t="shared" si="9"/>
        <v>0</v>
      </c>
      <c r="F201" s="22"/>
      <c r="G201" s="24"/>
    </row>
    <row r="202" spans="1:7" ht="13.5" customHeight="1">
      <c r="A202" s="17">
        <v>38</v>
      </c>
      <c r="B202" s="23" t="s">
        <v>202</v>
      </c>
      <c r="C202" s="190">
        <f>C193+C195+C197+C199+C200</f>
        <v>230044</v>
      </c>
      <c r="D202" s="190">
        <f>D193+D195+D197+D199+D200</f>
        <v>0</v>
      </c>
      <c r="E202" s="190">
        <f>E193+E195+E197+E199+E200</f>
        <v>205906</v>
      </c>
      <c r="F202" s="22"/>
      <c r="G202" s="24"/>
    </row>
    <row r="203" spans="1:7" ht="13.5" customHeight="1">
      <c r="A203" s="17">
        <v>39</v>
      </c>
      <c r="B203" s="23" t="s">
        <v>203</v>
      </c>
      <c r="C203" s="190">
        <f>C192-C202</f>
        <v>123590</v>
      </c>
      <c r="D203" s="190">
        <f>D192-D202</f>
        <v>0</v>
      </c>
      <c r="E203" s="190">
        <f>E192-E202</f>
        <v>58631</v>
      </c>
      <c r="F203" s="22"/>
      <c r="G203" s="24"/>
    </row>
    <row r="204" spans="1:7" ht="13.5" customHeight="1">
      <c r="A204" s="17">
        <v>40</v>
      </c>
      <c r="B204" s="23" t="s">
        <v>175</v>
      </c>
      <c r="C204" s="190">
        <f>C181+C203</f>
        <v>7315433</v>
      </c>
      <c r="D204" s="190">
        <f>D181+D203</f>
        <v>0</v>
      </c>
      <c r="E204" s="190">
        <f>E181+E203</f>
        <v>630629</v>
      </c>
      <c r="F204" s="22"/>
      <c r="G204" s="24"/>
    </row>
    <row r="205" spans="1:7" ht="13.5" customHeight="1">
      <c r="A205" s="17">
        <v>41</v>
      </c>
      <c r="B205" s="23" t="s">
        <v>204</v>
      </c>
      <c r="C205" s="194">
        <f>C160</f>
        <v>145623</v>
      </c>
      <c r="D205" s="194">
        <f>D160</f>
        <v>0</v>
      </c>
      <c r="E205" s="194">
        <f>E160</f>
        <v>75806</v>
      </c>
      <c r="F205" s="22"/>
      <c r="G205" s="24"/>
    </row>
    <row r="206" spans="1:7" ht="13.5" customHeight="1">
      <c r="A206" s="17">
        <v>42</v>
      </c>
      <c r="B206" s="23" t="s">
        <v>205</v>
      </c>
      <c r="C206" s="190">
        <f>C204-C205</f>
        <v>7169810</v>
      </c>
      <c r="D206" s="190">
        <f>D204-D205</f>
        <v>0</v>
      </c>
      <c r="E206" s="190">
        <f>E204-E205</f>
        <v>554823</v>
      </c>
      <c r="F206" s="22"/>
      <c r="G206" s="24"/>
    </row>
  </sheetData>
  <sheetProtection sheet="1"/>
  <printOptions gridLines="1"/>
  <pageMargins left="0.70833333333333337" right="0.70833333333333337" top="0.55138888888888893" bottom="0.55138888888888893" header="0.51180555555555551" footer="0.51180555555555551"/>
  <pageSetup paperSize="9" scale="93" firstPageNumber="0" fitToHeight="0" orientation="portrait" r:id="rId1"/>
  <headerFooter alignWithMargins="0"/>
  <rowBreaks count="3" manualBreakCount="3">
    <brk id="62" max="16383" man="1"/>
    <brk id="111" max="16383" man="1"/>
    <brk id="1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A9D08E"/>
  </sheetPr>
  <dimension ref="A1:F20"/>
  <sheetViews>
    <sheetView workbookViewId="0">
      <selection sqref="A1:XFD1048576"/>
    </sheetView>
  </sheetViews>
  <sheetFormatPr defaultColWidth="8.88671875" defaultRowHeight="14.25"/>
  <cols>
    <col min="1" max="1" width="10.21875" style="2" customWidth="1"/>
    <col min="2" max="2" width="49.109375" style="2" customWidth="1"/>
    <col min="3" max="16384" width="8.88671875" style="2"/>
  </cols>
  <sheetData>
    <row r="1" spans="1:6" ht="15">
      <c r="A1" s="205"/>
      <c r="B1" s="4" t="s">
        <v>206</v>
      </c>
      <c r="D1" s="4" t="s">
        <v>207</v>
      </c>
      <c r="E1" s="10"/>
      <c r="F1" s="10"/>
    </row>
    <row r="2" spans="1:6" ht="15.75">
      <c r="A2" s="204" t="s">
        <v>208</v>
      </c>
      <c r="B2" s="196" t="s">
        <v>209</v>
      </c>
      <c r="D2" s="197" t="s">
        <v>210</v>
      </c>
      <c r="E2" s="4"/>
      <c r="F2" s="231">
        <v>1</v>
      </c>
    </row>
    <row r="3" spans="1:6" ht="15">
      <c r="A3" s="204" t="s">
        <v>211</v>
      </c>
      <c r="B3" s="196" t="s">
        <v>212</v>
      </c>
      <c r="C3" s="198"/>
      <c r="D3" s="199">
        <v>1</v>
      </c>
      <c r="E3" s="10" t="s">
        <v>213</v>
      </c>
      <c r="F3" s="4"/>
    </row>
    <row r="4" spans="1:6" ht="15">
      <c r="A4" s="204" t="s">
        <v>214</v>
      </c>
      <c r="B4" s="2" t="s">
        <v>215</v>
      </c>
      <c r="C4" s="4"/>
      <c r="D4" s="65">
        <v>2</v>
      </c>
      <c r="E4" s="10" t="s">
        <v>216</v>
      </c>
      <c r="F4" s="4"/>
    </row>
    <row r="5" spans="1:6" ht="15">
      <c r="A5" s="204" t="s">
        <v>217</v>
      </c>
      <c r="B5" s="2" t="s">
        <v>218</v>
      </c>
      <c r="C5" s="4"/>
      <c r="D5" s="199">
        <v>3</v>
      </c>
      <c r="E5" s="10" t="s">
        <v>219</v>
      </c>
      <c r="F5" s="4"/>
    </row>
    <row r="6" spans="1:6" ht="15">
      <c r="A6" s="204" t="s">
        <v>220</v>
      </c>
      <c r="B6" s="2" t="s">
        <v>221</v>
      </c>
      <c r="C6" s="4"/>
      <c r="D6" s="199">
        <v>4</v>
      </c>
      <c r="E6" s="10" t="s">
        <v>222</v>
      </c>
      <c r="F6" s="10"/>
    </row>
    <row r="7" spans="1:6">
      <c r="A7" s="204" t="s">
        <v>223</v>
      </c>
      <c r="B7" s="25" t="s">
        <v>224</v>
      </c>
      <c r="D7" s="10" t="s">
        <v>225</v>
      </c>
      <c r="F7" s="200"/>
    </row>
    <row r="8" spans="1:6">
      <c r="A8" s="204" t="s">
        <v>226</v>
      </c>
      <c r="B8" s="25" t="s">
        <v>227</v>
      </c>
      <c r="D8" s="201" t="s">
        <v>228</v>
      </c>
      <c r="F8" s="11"/>
    </row>
    <row r="9" spans="1:6">
      <c r="A9" s="204" t="s">
        <v>229</v>
      </c>
      <c r="B9" s="25" t="s">
        <v>230</v>
      </c>
      <c r="F9" s="200"/>
    </row>
    <row r="10" spans="1:6">
      <c r="A10" s="204" t="s">
        <v>231</v>
      </c>
      <c r="B10" s="25" t="s">
        <v>232</v>
      </c>
      <c r="F10" s="200"/>
    </row>
    <row r="11" spans="1:6" ht="15">
      <c r="A11" s="204" t="s">
        <v>233</v>
      </c>
      <c r="B11" t="s">
        <v>1474</v>
      </c>
      <c r="D11" s="200"/>
      <c r="E11" s="11"/>
      <c r="F11" s="200"/>
    </row>
    <row r="12" spans="1:6">
      <c r="A12" s="205"/>
      <c r="B12" s="2" t="s">
        <v>234</v>
      </c>
    </row>
    <row r="13" spans="1:6">
      <c r="A13" s="207" t="s">
        <v>1456</v>
      </c>
      <c r="B13" s="2" t="s">
        <v>1457</v>
      </c>
    </row>
    <row r="20" spans="2:2">
      <c r="B20" s="202"/>
    </row>
  </sheetData>
  <sheetProtection selectLockedCells="1" selectUnlockedCells="1"/>
  <hyperlinks>
    <hyperlink ref="A2" location="Borító!A1" display="Borító" xr:uid="{00000000-0004-0000-0200-000000000000}"/>
    <hyperlink ref="A3" location="Ellenőr!A1" display="Ellenőr" xr:uid="{00000000-0004-0000-0200-000001000000}"/>
    <hyperlink ref="A4" location="Mérleg!A1" display="Mérleg" xr:uid="{00000000-0004-0000-0200-000002000000}"/>
    <hyperlink ref="A5" location="ER-Összk!A1" display="ER-Összk" xr:uid="{00000000-0004-0000-0200-000003000000}"/>
    <hyperlink ref="A6" location="ER-Forg!A1" display="Er-Forg" xr:uid="{00000000-0004-0000-0200-000004000000}"/>
    <hyperlink ref="A7" location="MérlE_borító!A1" display="MérlE_borító" xr:uid="{00000000-0004-0000-0200-000005000000}"/>
    <hyperlink ref="A8" location="Mérl_Egysz!A1" display="Mérl_Egysz" xr:uid="{00000000-0004-0000-0200-000006000000}"/>
    <hyperlink ref="D8" location="Nyelv!A1" display="Nyelv" xr:uid="{00000000-0004-0000-0200-000007000000}"/>
    <hyperlink ref="A9" location="Er-Ö_Egy!A1" display="Er-Ö_Egy'" xr:uid="{00000000-0004-0000-0200-000008000000}"/>
    <hyperlink ref="A10" location="Er-F_Egy!A1" display="Er-F_Egy'" xr:uid="{00000000-0004-0000-0200-000009000000}"/>
    <hyperlink ref="A11" location="'Cash-Flow'!A1" display="Cash-Flow" xr:uid="{00000000-0004-0000-0200-00000A000000}"/>
    <hyperlink ref="A13" location="Adatlap!A1" display="Adatlap!A1" xr:uid="{00000000-0004-0000-0200-00000B000000}"/>
  </hyperlinks>
  <pageMargins left="0.78749999999999998" right="0.78749999999999998" top="1.3777777777777778" bottom="0.98402777777777772" header="0.70833333333333337" footer="0.51180555555555551"/>
  <pageSetup paperSize="9" firstPageNumber="0" orientation="portrait" horizontalDpi="300" verticalDpi="300" r:id="rId1"/>
  <headerFooter alignWithMargins="0">
    <oddHeader>&amp;C&amp;"Arial CE,Félkövér"Mérlegkitöltő és elemző táblázatok
a DimWim programrendszerhez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rgb="FF73B04E"/>
  </sheetPr>
  <dimension ref="A1:Z65536"/>
  <sheetViews>
    <sheetView topLeftCell="A9" workbookViewId="0">
      <selection sqref="A1:XFD1048576"/>
    </sheetView>
  </sheetViews>
  <sheetFormatPr defaultColWidth="8.88671875" defaultRowHeight="14.25" customHeight="1"/>
  <cols>
    <col min="1" max="1" width="1.77734375" customWidth="1"/>
    <col min="2" max="2" width="1.77734375" style="2" customWidth="1"/>
    <col min="3" max="4" width="5.77734375" style="2" customWidth="1"/>
    <col min="5" max="5" width="40.33203125" style="2" customWidth="1"/>
    <col min="6" max="6" width="11.77734375" style="26" customWidth="1"/>
    <col min="7" max="7" width="6.77734375" style="27" customWidth="1"/>
    <col min="8" max="26" width="8.77734375" customWidth="1"/>
  </cols>
  <sheetData>
    <row r="1" spans="1:26" ht="15.75" customHeight="1">
      <c r="A1" s="456" t="s">
        <v>235</v>
      </c>
      <c r="B1" s="456"/>
      <c r="C1" s="456"/>
      <c r="D1" s="456"/>
      <c r="E1" s="456"/>
      <c r="F1" s="456"/>
      <c r="G1" s="456"/>
    </row>
    <row r="2" spans="1:26" ht="15" customHeight="1"/>
    <row r="3" spans="1:26" ht="14.25" customHeight="1">
      <c r="A3" s="28"/>
    </row>
    <row r="4" spans="1:26" ht="14.25" customHeight="1">
      <c r="B4" s="4"/>
    </row>
    <row r="6" spans="1:26" s="2" customFormat="1" ht="15" customHeight="1">
      <c r="A6" t="s">
        <v>238</v>
      </c>
      <c r="F6" s="29"/>
      <c r="G6" s="30"/>
    </row>
    <row r="7" spans="1:26" ht="15" customHeight="1"/>
    <row r="8" spans="1:26" s="2" customFormat="1" ht="15" customHeight="1">
      <c r="B8" s="4" t="s">
        <v>239</v>
      </c>
      <c r="F8" s="29"/>
      <c r="G8" s="30"/>
    </row>
    <row r="9" spans="1:26" s="2" customFormat="1" ht="14.25" customHeight="1">
      <c r="A9"/>
      <c r="C9" s="11" t="s">
        <v>240</v>
      </c>
      <c r="D9" s="11"/>
      <c r="E9" s="11"/>
      <c r="F9" s="26"/>
      <c r="G9" s="27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s="2" customFormat="1" ht="14.25" customHeight="1">
      <c r="A10"/>
      <c r="C10" s="11" t="s">
        <v>241</v>
      </c>
      <c r="D10" s="11"/>
      <c r="E10" s="11"/>
      <c r="F10" s="26"/>
      <c r="G10" s="27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s="2" customFormat="1" ht="14.25" customHeight="1">
      <c r="A11"/>
      <c r="C11" s="11" t="s">
        <v>242</v>
      </c>
      <c r="D11" s="11"/>
      <c r="E11" s="11"/>
      <c r="F11" s="26"/>
      <c r="G11" s="2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s="2" customFormat="1" ht="14.25" customHeight="1">
      <c r="A12"/>
      <c r="C12" s="11" t="s">
        <v>243</v>
      </c>
      <c r="D12" s="11"/>
      <c r="E12" s="11"/>
      <c r="F12" s="26"/>
      <c r="G12" s="2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s="2" customFormat="1" ht="14.25" customHeight="1">
      <c r="A13"/>
      <c r="C13" s="11" t="s">
        <v>244</v>
      </c>
      <c r="D13" s="11"/>
      <c r="E13" s="11"/>
      <c r="F13" s="26"/>
      <c r="G13" s="2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5" spans="1:26" s="2" customFormat="1" ht="15" customHeight="1">
      <c r="B15" s="4" t="s">
        <v>245</v>
      </c>
      <c r="F15" s="29"/>
      <c r="G15" s="30"/>
    </row>
    <row r="17" spans="1:26" s="2" customFormat="1" ht="15" customHeight="1">
      <c r="B17" s="4" t="s">
        <v>246</v>
      </c>
      <c r="F17" s="29"/>
      <c r="G17" s="30"/>
    </row>
    <row r="18" spans="1:26" s="2" customFormat="1" ht="14.25" customHeight="1">
      <c r="A18"/>
      <c r="C18" s="11" t="s">
        <v>247</v>
      </c>
      <c r="D18" s="11"/>
      <c r="E18" s="11"/>
      <c r="F18" s="26"/>
      <c r="G18" s="27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2" customFormat="1" ht="14.25" customHeight="1">
      <c r="A19"/>
      <c r="C19" s="11" t="s">
        <v>248</v>
      </c>
      <c r="D19" s="11"/>
      <c r="E19" s="11"/>
      <c r="F19" s="26"/>
      <c r="G19" s="2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s="2" customFormat="1" ht="14.25" customHeight="1">
      <c r="A20"/>
      <c r="C20" s="11" t="s">
        <v>249</v>
      </c>
      <c r="D20" s="11"/>
      <c r="E20" s="11"/>
      <c r="F20" s="26"/>
      <c r="G20" s="27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s="2" customFormat="1" ht="14.25" customHeight="1">
      <c r="A21"/>
      <c r="C21" s="11" t="s">
        <v>250</v>
      </c>
      <c r="D21" s="11"/>
      <c r="E21" s="11"/>
      <c r="F21" s="26"/>
      <c r="G21" s="2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2" customFormat="1" ht="14.25" customHeight="1">
      <c r="A22"/>
      <c r="C22" s="11" t="s">
        <v>251</v>
      </c>
      <c r="D22" s="11"/>
      <c r="E22" s="11"/>
      <c r="F22" s="26"/>
      <c r="G22" s="2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2" customFormat="1" ht="14.25" customHeight="1">
      <c r="C23" s="11" t="s">
        <v>252</v>
      </c>
      <c r="D23" s="11"/>
      <c r="E23" s="11"/>
      <c r="F23" s="26"/>
      <c r="G23" s="2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2" customFormat="1" ht="14.25" customHeight="1">
      <c r="F24" s="26"/>
      <c r="G24" s="2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s="2" customFormat="1" ht="14.25" customHeight="1">
      <c r="F25" s="26"/>
      <c r="G25" s="2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2" customFormat="1" ht="15" customHeight="1">
      <c r="A26" t="s">
        <v>253</v>
      </c>
      <c r="F26" s="29"/>
      <c r="G26" s="27" t="s">
        <v>236</v>
      </c>
    </row>
    <row r="27" spans="1:26" s="2" customFormat="1" ht="14.25" customHeight="1">
      <c r="F27" s="26"/>
      <c r="G27" s="27" t="s">
        <v>237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s="2" customFormat="1" ht="15" customHeight="1">
      <c r="B28" s="4" t="s">
        <v>254</v>
      </c>
      <c r="F28" s="232"/>
      <c r="G28" s="30"/>
    </row>
    <row r="29" spans="1:26" s="2" customFormat="1" ht="14.25" customHeight="1">
      <c r="C29" s="11"/>
      <c r="D29" s="11" t="s">
        <v>255</v>
      </c>
      <c r="E29" s="11"/>
      <c r="F29" s="233" t="s">
        <v>256</v>
      </c>
      <c r="G29" s="236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s="2" customFormat="1" ht="14.25" customHeight="1">
      <c r="C30" s="11"/>
      <c r="D30" s="11"/>
      <c r="E30" s="11"/>
      <c r="F30" s="234"/>
      <c r="G30" s="23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s="2" customFormat="1" ht="14.25" customHeight="1">
      <c r="C31" s="11" t="s">
        <v>257</v>
      </c>
      <c r="D31" s="11"/>
      <c r="E31" s="11"/>
      <c r="F31" s="234"/>
      <c r="G31" s="23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s="2" customFormat="1" ht="14.25" customHeight="1">
      <c r="C32" s="11"/>
      <c r="D32" s="11" t="s">
        <v>258</v>
      </c>
      <c r="E32" s="11"/>
      <c r="F32" s="233" t="s">
        <v>259</v>
      </c>
      <c r="G32" s="236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6" s="2" customFormat="1" ht="14.25" customHeight="1">
      <c r="C33" s="11"/>
      <c r="D33" s="11" t="s">
        <v>260</v>
      </c>
      <c r="E33" s="11"/>
      <c r="F33" s="233" t="s">
        <v>261</v>
      </c>
      <c r="G33" s="23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3:26" s="2" customFormat="1" ht="14.25" customHeight="1">
      <c r="C34" s="11"/>
      <c r="D34" s="11" t="s">
        <v>262</v>
      </c>
      <c r="E34" s="11"/>
      <c r="F34" s="233" t="s">
        <v>263</v>
      </c>
      <c r="G34" s="236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2" customFormat="1" ht="14.25" customHeight="1">
      <c r="C35" s="11"/>
      <c r="D35" s="11" t="s">
        <v>264</v>
      </c>
      <c r="E35" s="11"/>
      <c r="F35" s="233" t="s">
        <v>265</v>
      </c>
      <c r="G35" s="236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s="2" customFormat="1" ht="14.25" customHeight="1">
      <c r="C36" s="11"/>
      <c r="D36" s="11" t="s">
        <v>266</v>
      </c>
      <c r="E36" s="11"/>
      <c r="F36" s="233" t="s">
        <v>267</v>
      </c>
      <c r="G36" s="2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3:26" s="2" customFormat="1" ht="14.25" customHeight="1">
      <c r="C37" s="11"/>
      <c r="D37" s="11" t="s">
        <v>268</v>
      </c>
      <c r="E37" s="11"/>
      <c r="F37" s="233" t="s">
        <v>269</v>
      </c>
      <c r="G37" s="236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3:26" s="2" customFormat="1" ht="14.25" customHeight="1">
      <c r="C38" s="11"/>
      <c r="D38" s="11" t="s">
        <v>270</v>
      </c>
      <c r="E38" s="11"/>
      <c r="F38" s="233" t="s">
        <v>271</v>
      </c>
      <c r="G38" s="236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3:26" s="2" customFormat="1" ht="14.25" customHeight="1">
      <c r="C39" s="11"/>
      <c r="D39" s="11" t="s">
        <v>272</v>
      </c>
      <c r="E39" s="11"/>
      <c r="F39" s="233" t="s">
        <v>273</v>
      </c>
      <c r="G39" s="236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3:26" s="2" customFormat="1" ht="14.25" customHeight="1">
      <c r="C40" s="11"/>
      <c r="D40" s="11" t="s">
        <v>274</v>
      </c>
      <c r="E40" s="11"/>
      <c r="F40" s="233" t="s">
        <v>275</v>
      </c>
      <c r="G40" s="236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3:26" s="2" customFormat="1" ht="14.25" customHeight="1">
      <c r="C41" s="11"/>
      <c r="D41" s="11" t="s">
        <v>276</v>
      </c>
      <c r="E41" s="11"/>
      <c r="F41" s="233" t="s">
        <v>277</v>
      </c>
      <c r="G41" s="236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3:26" s="2" customFormat="1" ht="14.25" customHeight="1">
      <c r="C42" s="11"/>
      <c r="D42" s="11" t="s">
        <v>278</v>
      </c>
      <c r="E42" s="11"/>
      <c r="F42" s="233" t="s">
        <v>279</v>
      </c>
      <c r="G42" s="236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3:26" s="2" customFormat="1" ht="14.25" customHeight="1">
      <c r="C43" s="11"/>
      <c r="D43" s="11"/>
      <c r="E43" s="11"/>
      <c r="F43" s="234"/>
      <c r="G43" s="237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3:26" s="2" customFormat="1" ht="14.25" customHeight="1">
      <c r="C44" s="11" t="s">
        <v>280</v>
      </c>
      <c r="D44" s="11"/>
      <c r="E44" s="11"/>
      <c r="F44" s="234"/>
      <c r="G44" s="237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3:26" s="2" customFormat="1" ht="14.25" customHeight="1">
      <c r="C45" s="11"/>
      <c r="D45" s="11" t="s">
        <v>281</v>
      </c>
      <c r="E45" s="11"/>
      <c r="F45" s="233" t="s">
        <v>282</v>
      </c>
      <c r="G45" s="236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3:26" s="2" customFormat="1" ht="14.25" customHeight="1">
      <c r="C46" s="11"/>
      <c r="D46" s="11" t="s">
        <v>283</v>
      </c>
      <c r="E46" s="11"/>
      <c r="F46" s="233" t="s">
        <v>284</v>
      </c>
      <c r="G46" s="23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3:26" s="2" customFormat="1" ht="14.25" customHeight="1">
      <c r="C47" s="11"/>
      <c r="D47" s="11" t="s">
        <v>285</v>
      </c>
      <c r="E47" s="11"/>
      <c r="F47" s="233" t="s">
        <v>286</v>
      </c>
      <c r="G47" s="236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3:26" s="2" customFormat="1" ht="14.25" customHeight="1">
      <c r="C48" s="11"/>
      <c r="D48" s="11" t="s">
        <v>287</v>
      </c>
      <c r="E48" s="11"/>
      <c r="F48" s="233" t="s">
        <v>288</v>
      </c>
      <c r="G48" s="236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2:26" s="2" customFormat="1" ht="14.25" customHeight="1">
      <c r="C49" s="11"/>
      <c r="D49" s="11" t="s">
        <v>289</v>
      </c>
      <c r="E49" s="11"/>
      <c r="F49" s="233" t="s">
        <v>290</v>
      </c>
      <c r="G49" s="236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2:26" s="2" customFormat="1" ht="14.25" customHeight="1">
      <c r="C50" s="11"/>
      <c r="D50" s="11" t="s">
        <v>291</v>
      </c>
      <c r="E50" s="11"/>
      <c r="F50" s="233" t="s">
        <v>275</v>
      </c>
      <c r="G50" s="236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2:26" s="2" customFormat="1" ht="14.25" customHeight="1">
      <c r="C51" s="11"/>
      <c r="D51" s="11" t="s">
        <v>292</v>
      </c>
      <c r="E51" s="11"/>
      <c r="F51" s="233" t="s">
        <v>293</v>
      </c>
      <c r="G51" s="236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2:26" s="2" customFormat="1" ht="14.25" customHeight="1">
      <c r="F52" s="233"/>
      <c r="G52" s="237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2:26" s="2" customFormat="1" ht="15" customHeight="1">
      <c r="B53" s="4" t="s">
        <v>294</v>
      </c>
      <c r="F53" s="234"/>
      <c r="G53" s="238"/>
    </row>
    <row r="54" spans="2:26" s="2" customFormat="1" ht="14.25" customHeight="1">
      <c r="C54" s="11"/>
      <c r="D54" s="11" t="s">
        <v>295</v>
      </c>
      <c r="E54" s="11"/>
      <c r="F54" s="233" t="s">
        <v>296</v>
      </c>
      <c r="G54" s="236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2:26" s="2" customFormat="1" ht="14.25" customHeight="1">
      <c r="C55" s="11"/>
      <c r="D55" s="11" t="s">
        <v>297</v>
      </c>
      <c r="E55" s="11"/>
      <c r="F55" s="233" t="s">
        <v>298</v>
      </c>
      <c r="G55" s="236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2:26" s="2" customFormat="1" ht="14.25" customHeight="1">
      <c r="C56" s="11"/>
      <c r="D56" s="11" t="s">
        <v>299</v>
      </c>
      <c r="E56" s="11"/>
      <c r="F56" s="233" t="s">
        <v>300</v>
      </c>
      <c r="G56" s="23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2:26" s="2" customFormat="1" ht="14.25" customHeight="1">
      <c r="C57" s="11"/>
      <c r="D57" s="11" t="s">
        <v>301</v>
      </c>
      <c r="E57" s="11"/>
      <c r="F57" s="233" t="s">
        <v>302</v>
      </c>
      <c r="G57" s="236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2:26" s="2" customFormat="1" ht="14.25" customHeight="1">
      <c r="C58" s="11"/>
      <c r="D58" s="11" t="s">
        <v>303</v>
      </c>
      <c r="E58" s="11"/>
      <c r="F58" s="233" t="s">
        <v>304</v>
      </c>
      <c r="G58" s="236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2:26" s="2" customFormat="1" ht="14.25" customHeight="1">
      <c r="C59" s="11"/>
      <c r="D59" s="11" t="s">
        <v>305</v>
      </c>
      <c r="E59" s="11"/>
      <c r="F59" s="233" t="s">
        <v>306</v>
      </c>
      <c r="G59" s="236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2:26" s="2" customFormat="1" ht="14.25" customHeight="1">
      <c r="F60" s="234"/>
      <c r="G60" s="237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2:26" s="2" customFormat="1" ht="15" customHeight="1">
      <c r="B61" s="4" t="s">
        <v>307</v>
      </c>
      <c r="F61" s="234"/>
      <c r="G61" s="238"/>
    </row>
    <row r="62" spans="2:26" s="2" customFormat="1" ht="14.25" customHeight="1">
      <c r="F62" s="234"/>
      <c r="G62" s="237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2:26" s="2" customFormat="1" ht="14.25" customHeight="1">
      <c r="C63" s="11" t="s">
        <v>308</v>
      </c>
      <c r="D63" s="11"/>
      <c r="E63" s="11"/>
      <c r="F63" s="234"/>
      <c r="G63" s="237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2:26" s="2" customFormat="1" ht="14.25" customHeight="1">
      <c r="C64" s="11"/>
      <c r="D64" s="11" t="s">
        <v>309</v>
      </c>
      <c r="E64" s="11"/>
      <c r="F64" s="233" t="s">
        <v>310</v>
      </c>
      <c r="G64" s="236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3:26" s="2" customFormat="1" ht="14.25" customHeight="1">
      <c r="C65" s="11"/>
      <c r="D65" s="11" t="s">
        <v>311</v>
      </c>
      <c r="E65" s="11"/>
      <c r="F65" s="233" t="s">
        <v>312</v>
      </c>
      <c r="G65" s="236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3:26" s="2" customFormat="1" ht="14.25" customHeight="1">
      <c r="C66" s="11"/>
      <c r="D66" s="11"/>
      <c r="E66" s="11"/>
      <c r="F66" s="234"/>
      <c r="G66" s="237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3:26" s="2" customFormat="1" ht="14.25" customHeight="1">
      <c r="C67" s="11" t="s">
        <v>313</v>
      </c>
      <c r="D67" s="11"/>
      <c r="E67" s="11"/>
      <c r="F67" s="234"/>
      <c r="G67" s="23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3:26" s="2" customFormat="1" ht="14.25" customHeight="1">
      <c r="C68" s="11"/>
      <c r="D68" s="11" t="s">
        <v>314</v>
      </c>
      <c r="E68" s="11"/>
      <c r="F68" s="233" t="s">
        <v>315</v>
      </c>
      <c r="G68" s="236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3:26" s="2" customFormat="1" ht="14.25" customHeight="1">
      <c r="C69" s="11"/>
      <c r="D69" s="11" t="s">
        <v>316</v>
      </c>
      <c r="E69" s="11"/>
      <c r="F69" s="233" t="s">
        <v>317</v>
      </c>
      <c r="G69" s="236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3:26" s="2" customFormat="1" ht="14.25" customHeight="1">
      <c r="C70" s="11"/>
      <c r="D70" s="11"/>
      <c r="E70" s="11"/>
      <c r="F70" s="234"/>
      <c r="G70" s="237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3:26" s="2" customFormat="1" ht="14.25" customHeight="1">
      <c r="C71" s="11" t="s">
        <v>318</v>
      </c>
      <c r="D71" s="11"/>
      <c r="E71" s="11"/>
      <c r="F71" s="234"/>
      <c r="G71" s="237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3:26" s="2" customFormat="1" ht="14.25" customHeight="1">
      <c r="C72" s="11"/>
      <c r="D72" s="11" t="s">
        <v>319</v>
      </c>
      <c r="E72" s="11"/>
      <c r="F72" s="233" t="s">
        <v>320</v>
      </c>
      <c r="G72" s="236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3:26" s="2" customFormat="1" ht="14.25" customHeight="1">
      <c r="C73" s="11"/>
      <c r="D73" s="11" t="s">
        <v>321</v>
      </c>
      <c r="E73" s="11"/>
      <c r="F73" s="233" t="s">
        <v>322</v>
      </c>
      <c r="G73" s="236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3:26" s="2" customFormat="1" ht="14.25" customHeight="1">
      <c r="C74" s="11"/>
      <c r="D74" s="11" t="s">
        <v>323</v>
      </c>
      <c r="E74" s="11"/>
      <c r="F74" s="233" t="s">
        <v>324</v>
      </c>
      <c r="G74" s="236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3:26" s="2" customFormat="1" ht="14.25" customHeight="1">
      <c r="C75" s="11"/>
      <c r="D75" s="11"/>
      <c r="E75" s="11"/>
      <c r="F75" s="234"/>
      <c r="G75" s="237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3:26" s="2" customFormat="1" ht="14.25" customHeight="1">
      <c r="C76" s="11" t="s">
        <v>325</v>
      </c>
      <c r="D76" s="11"/>
      <c r="E76" s="11"/>
      <c r="F76" s="234"/>
      <c r="G76" s="237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3:26" s="2" customFormat="1" ht="14.25" customHeight="1">
      <c r="C77" s="11"/>
      <c r="D77" s="11" t="s">
        <v>326</v>
      </c>
      <c r="E77" s="11" t="s">
        <v>327</v>
      </c>
      <c r="F77" s="233" t="s">
        <v>328</v>
      </c>
      <c r="G77" s="236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3:26" s="2" customFormat="1" ht="14.25" customHeight="1">
      <c r="C78" s="11"/>
      <c r="D78" s="11"/>
      <c r="E78" s="11"/>
      <c r="F78" s="234"/>
      <c r="G78" s="237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3:26" s="2" customFormat="1" ht="14.25" customHeight="1">
      <c r="C79" s="11" t="s">
        <v>329</v>
      </c>
      <c r="D79" s="11"/>
      <c r="E79" s="11"/>
      <c r="F79" s="234"/>
      <c r="G79" s="237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3:26" s="2" customFormat="1" ht="14.25" customHeight="1">
      <c r="C80" s="11"/>
      <c r="D80" s="11" t="s">
        <v>326</v>
      </c>
      <c r="E80" s="11" t="s">
        <v>330</v>
      </c>
      <c r="F80" s="233" t="s">
        <v>331</v>
      </c>
      <c r="G80" s="236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2:26" s="2" customFormat="1" ht="14.25" customHeight="1">
      <c r="F81" s="234"/>
      <c r="G81" s="237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2:26" s="2" customFormat="1" ht="14.25" customHeight="1">
      <c r="C82" s="11" t="s">
        <v>332</v>
      </c>
      <c r="F82" s="233" t="s">
        <v>333</v>
      </c>
      <c r="G82" s="236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2:26" s="2" customFormat="1" ht="14.25" customHeight="1">
      <c r="F83" s="234"/>
      <c r="G83" s="237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2:26" s="2" customFormat="1" ht="15" customHeight="1">
      <c r="B84" s="4" t="s">
        <v>334</v>
      </c>
      <c r="F84" s="232"/>
      <c r="G84" s="238"/>
    </row>
    <row r="85" spans="2:26" s="2" customFormat="1" ht="14.25" customHeight="1">
      <c r="F85" s="234"/>
      <c r="G85" s="237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2:26" s="2" customFormat="1" ht="15" customHeight="1">
      <c r="B86" s="4" t="s">
        <v>335</v>
      </c>
      <c r="F86" s="235" t="s">
        <v>1460</v>
      </c>
      <c r="G86" s="238"/>
    </row>
    <row r="65536" ht="15" customHeight="1"/>
  </sheetData>
  <sheetProtection selectLockedCells="1" selectUnlockedCells="1"/>
  <mergeCells count="1">
    <mergeCell ref="A1:G1"/>
  </mergeCells>
  <hyperlinks>
    <hyperlink ref="F29" location="Mérleg_v!A1" display="Mérleg_v" xr:uid="{00000000-0004-0000-0300-000000000000}"/>
    <hyperlink ref="F32" location="VagyonI.!A1" display="Eszközök" xr:uid="{00000000-0004-0000-0300-000001000000}"/>
    <hyperlink ref="F33" location="VagyonI.!A51" display="Befektetett_e" xr:uid="{00000000-0004-0000-0300-000002000000}"/>
    <hyperlink ref="F34" location="Tárgyi!A1" display="Tárgyi" xr:uid="{00000000-0004-0000-0300-000003000000}"/>
    <hyperlink ref="F35" location="TárgyiBtto!A1" display="TárgyiBtto" xr:uid="{00000000-0004-0000-0300-000004000000}"/>
    <hyperlink ref="F36" location="Tárgyiécs!A1" display="Tárgyiécs" xr:uid="{00000000-0004-0000-0300-000005000000}"/>
    <hyperlink ref="F37" location="T.értékcs.!A1" display="T.értékcs." xr:uid="{00000000-0004-0000-0300-000006000000}"/>
    <hyperlink ref="F38" location="Értékp_v!A1" display="Befekt.pü_v" xr:uid="{00000000-0004-0000-0300-000007000000}"/>
    <hyperlink ref="F39" location="VagyonI.!A91" display="Forgó_e" xr:uid="{00000000-0004-0000-0300-000008000000}"/>
    <hyperlink ref="F40" location="'Egyéb köv-köt'!A1" display="Egyéb köv-köt" xr:uid="{00000000-0004-0000-0300-000009000000}"/>
    <hyperlink ref="F41" location="Értékp_v!A52" display="Értékp_v" xr:uid="{00000000-0004-0000-0300-00000A000000}"/>
    <hyperlink ref="F42" location="VagyonI.!A127" display="Aktív_ie" xr:uid="{00000000-0004-0000-0300-00000B000000}"/>
    <hyperlink ref="F45" location="VagyonI.!Nyomtatási_terület" display="Források" xr:uid="{00000000-0004-0000-0300-00000C000000}"/>
    <hyperlink ref="F46" location="VagyonI.!A140" display="Saját tőke" xr:uid="{00000000-0004-0000-0300-00000D000000}"/>
    <hyperlink ref="F47" location="Sajáttőke!A1" display="Saját tőke_v" xr:uid="{00000000-0004-0000-0300-00000E000000}"/>
    <hyperlink ref="F48" location="VagyonI.!A158" display="Céltartalék" xr:uid="{00000000-0004-0000-0300-00000F000000}"/>
    <hyperlink ref="F49" location="VagyonI.!A172" display="Kötelezettségek" xr:uid="{00000000-0004-0000-0300-000010000000}"/>
    <hyperlink ref="F50" location="'Egyéb köv-köt'!A1" display="Egyéb köv-köt" xr:uid="{00000000-0004-0000-0300-000011000000}"/>
    <hyperlink ref="F51" location="VagyonI.!A212" display="Passzív_ie" xr:uid="{00000000-0004-0000-0300-000012000000}"/>
    <hyperlink ref="F54" location="Mérleg_v!A61" display="Összk_eredm" xr:uid="{00000000-0004-0000-0300-000013000000}"/>
    <hyperlink ref="F55" location="Mérleg_v!A85" display="Forgalmi_eredm" xr:uid="{00000000-0004-0000-0300-000014000000}"/>
    <hyperlink ref="F56" location="Költség_ráford!A1" display="Költség_ráford" xr:uid="{00000000-0004-0000-0300-000015000000}"/>
    <hyperlink ref="F57" location="Ktg-szerk&quot;A&quot;!A1" display="Költségszerkezet" xr:uid="{00000000-0004-0000-0300-000016000000}"/>
    <hyperlink ref="F58" location="Eredmény_kat!A1" display="Eredmény_kat" xr:uid="{00000000-0004-0000-0300-000017000000}"/>
    <hyperlink ref="F59" location="TAO!A1" display="Társasági_adó" xr:uid="{00000000-0004-0000-0300-000018000000}"/>
    <hyperlink ref="F64" location="VagyonII.!A1" display="Vagyoni _mut" xr:uid="{00000000-0004-0000-0300-000019000000}"/>
    <hyperlink ref="F65" location="VagyonII.!A28" display="Vagyoni _mut_h" xr:uid="{00000000-0004-0000-0300-00001A000000}"/>
    <hyperlink ref="F68" location="PüI.!A20" display="Pénzügy_mut" xr:uid="{00000000-0004-0000-0300-00001B000000}"/>
    <hyperlink ref="F69" location="PüI.!A41" display="Adósság_szolg" xr:uid="{00000000-0004-0000-0300-00001C000000}"/>
    <hyperlink ref="F72" location="Hatidőn_túli!A1" display="Hatidőn_túli" xr:uid="{00000000-0004-0000-0300-00001D000000}"/>
    <hyperlink ref="F73" location="PüI.!A1" display="Likviditási mut." xr:uid="{00000000-0004-0000-0300-00001E000000}"/>
    <hyperlink ref="F74" location="PüII.!A1" display="Több fok. likvid." xr:uid="{00000000-0004-0000-0300-00001F000000}"/>
    <hyperlink ref="F77" location="Jövedelem!A1" display="Jövedelem" xr:uid="{00000000-0004-0000-0300-000020000000}"/>
    <hyperlink ref="F80" location="Létszám!A1" display="Létszám" xr:uid="{00000000-0004-0000-0300-000021000000}"/>
    <hyperlink ref="F82" location="Mutatók!A1" display="Mutatók" xr:uid="{00000000-0004-0000-0300-000022000000}"/>
    <hyperlink ref="F86" location="Deviza_uj!Nyomtatási_terület" display="Évvégi átértékelés" xr:uid="{00000000-0004-0000-0300-000023000000}"/>
  </hyperlinks>
  <pageMargins left="0.25" right="0.25" top="0.75" bottom="0.75" header="0.3" footer="0.3"/>
  <pageSetup paperSize="9" scale="9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>
    <tabColor rgb="FFFFFF00"/>
  </sheetPr>
  <dimension ref="A1:AG60"/>
  <sheetViews>
    <sheetView tabSelected="1" topLeftCell="A25" workbookViewId="0">
      <selection activeCell="AF39" sqref="AF39"/>
    </sheetView>
  </sheetViews>
  <sheetFormatPr defaultColWidth="3.109375" defaultRowHeight="15"/>
  <cols>
    <col min="3" max="3" width="3.21875" customWidth="1"/>
    <col min="17" max="17" width="4.33203125" customWidth="1"/>
    <col min="22" max="22" width="2.5546875" customWidth="1"/>
  </cols>
  <sheetData>
    <row r="1" spans="1:33" ht="21" customHeight="1">
      <c r="A1" s="31" t="str">
        <f>MID(Alapadatok!E6,1,1)</f>
        <v>1</v>
      </c>
      <c r="B1" s="32" t="str">
        <f>MID(Alapadatok!E6,2,1)</f>
        <v>0</v>
      </c>
      <c r="C1" s="32" t="str">
        <f>MID(Alapadatok!E6,3,1)</f>
        <v>2</v>
      </c>
      <c r="D1" s="32" t="str">
        <f>MID(Alapadatok!E6,4,1)</f>
        <v>3</v>
      </c>
      <c r="E1" s="32" t="str">
        <f>MID(Alapadatok!E6,5,1)</f>
        <v>3</v>
      </c>
      <c r="F1" s="32" t="str">
        <f>MID(Alapadatok!E6,6,1)</f>
        <v>3</v>
      </c>
      <c r="G1" s="32" t="str">
        <f>MID(Alapadatok!E6,7,1)</f>
        <v>4</v>
      </c>
      <c r="H1" s="33" t="str">
        <f>MID(Alapadatok!E6,8,1)</f>
        <v>2</v>
      </c>
      <c r="I1" s="31" t="str">
        <f>MID(Alapadatok!E6,10,1)</f>
        <v>4</v>
      </c>
      <c r="J1" s="32" t="str">
        <f>MID(Alapadatok!E6,11,1)</f>
        <v>7</v>
      </c>
      <c r="K1" s="32" t="str">
        <f>MID(Alapadatok!E6,12,1)</f>
        <v>5</v>
      </c>
      <c r="L1" s="34" t="str">
        <f>MID(Alapadatok!E6,13,1)</f>
        <v>4</v>
      </c>
      <c r="M1" s="31" t="str">
        <f>MID(Alapadatok!E6,15,1)</f>
        <v>1</v>
      </c>
      <c r="N1" s="32" t="str">
        <f>MID(Alapadatok!E6,16,1)</f>
        <v>1</v>
      </c>
      <c r="O1" s="34" t="str">
        <f>MID(Alapadatok!E6,17,1)</f>
        <v>3</v>
      </c>
      <c r="P1" s="31" t="str">
        <f>MID(Alapadatok!E6,19,1)</f>
        <v>1</v>
      </c>
      <c r="Q1" s="34" t="str">
        <f>MID(Alapadatok!E6,20,1)</f>
        <v>9</v>
      </c>
    </row>
    <row r="2" spans="1:33" ht="15.75">
      <c r="A2" s="457" t="str">
        <f>IF(Beszámoló!$F$2=1,Nyelv_old!E1,IF(Beszámoló!$F$2=2,Nyelv_old!F1,IF(Beszámoló!$F$2=3,Nyelv_old!G1,Nyelv_old!H1)))</f>
        <v>Statisztikai számjele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Y2" s="208" t="s">
        <v>336</v>
      </c>
      <c r="Z2" s="206"/>
      <c r="AA2" s="206"/>
      <c r="AB2" s="206"/>
      <c r="AC2" s="206"/>
      <c r="AD2" s="206"/>
      <c r="AE2" s="206"/>
      <c r="AF2" s="206"/>
      <c r="AG2" s="206"/>
    </row>
    <row r="4" spans="1:33" ht="21" customHeight="1">
      <c r="A4" s="31" t="str">
        <f>MID(Alapadatok!E7,1,1)</f>
        <v>1</v>
      </c>
      <c r="B4" s="33" t="str">
        <f>MID(Alapadatok!E7,2,1)</f>
        <v>9</v>
      </c>
      <c r="C4" s="36" t="s">
        <v>337</v>
      </c>
      <c r="D4" s="37" t="str">
        <f>MID(Alapadatok!E7,4,1)</f>
        <v>0</v>
      </c>
      <c r="E4" s="33" t="str">
        <f>MID(Alapadatok!E7,5,1)</f>
        <v>9</v>
      </c>
      <c r="F4" s="36" t="s">
        <v>337</v>
      </c>
      <c r="G4" s="37" t="str">
        <f>MID(Alapadatok!E7,7,1)</f>
        <v>5</v>
      </c>
      <c r="H4" s="32" t="str">
        <f>MID(Alapadatok!E7,8,1)</f>
        <v>1</v>
      </c>
      <c r="I4" s="32" t="str">
        <f>MID(Alapadatok!E7,9,1)</f>
        <v>3</v>
      </c>
      <c r="J4" s="32" t="str">
        <f>MID(Alapadatok!E7,10,1)</f>
        <v>3</v>
      </c>
      <c r="K4" s="32" t="str">
        <f>MID(Alapadatok!E7,11,1)</f>
        <v>4</v>
      </c>
      <c r="L4" s="34" t="str">
        <f>MID(Alapadatok!E7,12,1)</f>
        <v>1</v>
      </c>
    </row>
    <row r="5" spans="1:33">
      <c r="A5" s="457" t="str">
        <f>IF(Beszámoló!$F$2=1,Nyelv_old!E2,IF(Beszámoló!$F$2=2,Nyelv_old!F2,IF(Beszámoló!$F$2=3,Nyelv_old!G2,Nyelv_old!H2)))</f>
        <v>Cégjegyzék száma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</row>
    <row r="10" spans="1:33">
      <c r="O10" s="38"/>
    </row>
    <row r="12" spans="1:33" ht="15.75">
      <c r="A12" s="39" t="str">
        <f>Alapadatok!E9</f>
        <v>VÖRÖSKŐ KFT.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6" t="str">
        <f>IF(Beszámoló!$F$2=1,Nyelv_old!E3,IF(Beszámoló!$F$2=2,Nyelv_old!F3,IF(Beszámoló!$F$2=3,Nyelv_old!G3,Nyelv_old!H3)))</f>
        <v>a vállalkozás megnevezése</v>
      </c>
      <c r="R12" s="40"/>
      <c r="S12" s="40"/>
      <c r="T12" s="40"/>
      <c r="U12" s="40"/>
      <c r="V12" s="40"/>
      <c r="W12" s="40"/>
    </row>
    <row r="15" spans="1:33" ht="15.75">
      <c r="A15" s="41" t="str">
        <f>CONCATENATE(Alapadatok!E10,IF(Alapadatok!E11=0,"",CONCATENATE(",     ",Alapadatok!E11)))</f>
        <v>Veszprém, Pápai út 36.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6" t="str">
        <f>IF(Beszámoló!$F$2=1,Nyelv_old!E4,IF(Beszámoló!$F$2=2,Nyelv_old!F4,IF(Beszámoló!$F$2=3,Nyelv_old!G4,Nyelv_old!H4)))</f>
        <v>a vállalkozás címe, telefonszáma</v>
      </c>
      <c r="R15" s="40"/>
      <c r="S15" s="40"/>
      <c r="T15" s="40"/>
      <c r="U15" s="40"/>
      <c r="V15" s="40"/>
      <c r="W15" s="40"/>
    </row>
    <row r="24" spans="1:23" ht="15.75">
      <c r="I24" s="458" t="s">
        <v>1596</v>
      </c>
      <c r="J24" s="459"/>
      <c r="K24" s="459"/>
      <c r="L24" s="459"/>
      <c r="M24" s="459"/>
      <c r="N24" s="459"/>
      <c r="O24" s="459"/>
    </row>
    <row r="25" spans="1:23" ht="12.75" customHeight="1">
      <c r="H25" s="42"/>
      <c r="I25" s="42"/>
      <c r="J25" s="42"/>
      <c r="K25" s="42"/>
      <c r="L25" s="42"/>
      <c r="M25" s="42"/>
      <c r="N25" s="42"/>
    </row>
    <row r="27" spans="1:23" ht="23.25">
      <c r="A27" s="43"/>
      <c r="B27" s="43"/>
      <c r="C27" s="43"/>
      <c r="D27" s="43"/>
      <c r="E27" s="43"/>
      <c r="F27" s="43"/>
      <c r="G27" s="43"/>
      <c r="H27" s="43"/>
      <c r="I27" s="44" t="str">
        <f>IF(Beszámoló!$F$2=1,Nyelv_old!E5,IF(Beszámoló!$F$2=2,Nyelv_old!F5,IF(Beszámoló!$F$2=3,Nyelv_old!G5,Nyelv_old!H26)))</f>
        <v>Éves beszámoló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</row>
    <row r="30" spans="1:23">
      <c r="A30" s="460" t="str">
        <f>IF(Alapadatok!$E$16=1,(IF(Beszámoló!$F$2=1,Nyelv_old!$E$26,IF(Beszámoló!$F$2=2,Nyelv_old!$F$26,IF(Beszámoló!$F$2=3,Nyelv_old!$G$26,Nyelv_old!$H$26)))),"")</f>
        <v/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</row>
    <row r="36" spans="1:22">
      <c r="A36" s="45"/>
    </row>
    <row r="41" spans="1:22">
      <c r="A41" s="46"/>
      <c r="B41" t="str">
        <f>Alapadatok!E12</f>
        <v>Veszprém, 2023. január 30</v>
      </c>
    </row>
    <row r="42" spans="1:22">
      <c r="A42" s="46"/>
      <c r="B42" s="46"/>
      <c r="C42" s="46"/>
      <c r="D42" s="46"/>
      <c r="E42" s="46"/>
      <c r="F42" s="46"/>
      <c r="G42" s="46"/>
      <c r="H42" s="46"/>
      <c r="I42" s="46"/>
      <c r="L42" s="47"/>
      <c r="M42" s="47"/>
      <c r="N42" s="47"/>
      <c r="O42" s="47"/>
      <c r="P42" s="47"/>
      <c r="Q42" s="47"/>
      <c r="R42" s="47"/>
      <c r="S42" s="47"/>
    </row>
    <row r="43" spans="1:22">
      <c r="C43" s="48"/>
      <c r="L43" s="2"/>
      <c r="M43" s="2"/>
      <c r="N43" s="2"/>
      <c r="O43" s="49" t="str">
        <f>IF(Beszámoló!$F$2=1,Nyelv_old!E7,IF(Beszámoló!$F$2=2,Nyelv_old!F7,IF(Beszámoló!$F$2=3,Nyelv_old!G7,Nyelv_old!H7)))</f>
        <v>a vállalkozás vezetője</v>
      </c>
      <c r="P43" s="2"/>
      <c r="Q43" s="49"/>
      <c r="R43" s="49"/>
      <c r="S43" s="49"/>
      <c r="T43" s="35"/>
      <c r="U43" s="35"/>
      <c r="V43" s="35"/>
    </row>
    <row r="44" spans="1:22">
      <c r="L44" s="2"/>
      <c r="M44" s="2"/>
      <c r="N44" s="2"/>
      <c r="O44" s="49" t="str">
        <f>IF(Beszámoló!$F$2=1,Nyelv_old!E8,IF(Beszámoló!$F$2=2,Nyelv_old!F8,IF(Beszámoló!$F$2=3,Nyelv_old!G8,Nyelv_old!H8)))</f>
        <v>(képviselője)</v>
      </c>
      <c r="P44" s="49"/>
      <c r="Q44" s="49"/>
      <c r="R44" s="49"/>
      <c r="S44" s="49"/>
      <c r="T44" s="35"/>
      <c r="U44" s="35"/>
      <c r="V44" s="35"/>
    </row>
    <row r="60" ht="14.1" customHeight="1"/>
  </sheetData>
  <sheetProtection selectLockedCells="1" selectUnlockedCells="1"/>
  <mergeCells count="4">
    <mergeCell ref="A2:Q2"/>
    <mergeCell ref="A5:L5"/>
    <mergeCell ref="I24:O24"/>
    <mergeCell ref="A30:W30"/>
  </mergeCells>
  <hyperlinks>
    <hyperlink ref="Y2" location="Beszámoló!A1" display="Vissza a beszámolóhoz" xr:uid="{00000000-0004-0000-0400-000000000000}"/>
  </hyperlinks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rgb="FFA9D08E"/>
  </sheetPr>
  <dimension ref="A1:G15"/>
  <sheetViews>
    <sheetView workbookViewId="0">
      <selection activeCell="A7" sqref="A7:IV7"/>
    </sheetView>
  </sheetViews>
  <sheetFormatPr defaultColWidth="8.88671875" defaultRowHeight="15"/>
  <cols>
    <col min="1" max="1" width="51.77734375" customWidth="1"/>
  </cols>
  <sheetData>
    <row r="1" spans="1:7" ht="15.75">
      <c r="A1" s="4" t="s">
        <v>214</v>
      </c>
      <c r="B1" s="30" t="s">
        <v>31</v>
      </c>
      <c r="C1" s="30" t="s">
        <v>32</v>
      </c>
      <c r="E1" s="208" t="s">
        <v>336</v>
      </c>
      <c r="F1" s="206"/>
      <c r="G1" s="206"/>
    </row>
    <row r="2" spans="1:7">
      <c r="A2" s="2"/>
      <c r="B2" s="49"/>
      <c r="C2" s="49"/>
      <c r="E2" s="206"/>
      <c r="F2" s="206"/>
      <c r="G2" s="206"/>
    </row>
    <row r="3" spans="1:7" ht="15.75">
      <c r="A3" s="2" t="s">
        <v>338</v>
      </c>
      <c r="B3" s="30" t="str">
        <f>IF(Adatbevitel!C62=Adatbevitel!C111,"OK","HIBA!!!")</f>
        <v>OK</v>
      </c>
      <c r="C3" s="30" t="str">
        <f>IF(Adatbevitel!E62=Adatbevitel!E111,"OK","HIBA!!!")</f>
        <v>OK</v>
      </c>
      <c r="E3" s="206"/>
      <c r="F3" s="206"/>
      <c r="G3" s="206"/>
    </row>
    <row r="4" spans="1:7" ht="15.75">
      <c r="A4" s="2"/>
      <c r="B4" s="30"/>
      <c r="C4" s="30"/>
      <c r="E4" s="206"/>
      <c r="F4" s="206"/>
      <c r="G4" s="206"/>
    </row>
    <row r="5" spans="1:7" ht="15.75">
      <c r="A5" s="2" t="s">
        <v>339</v>
      </c>
      <c r="B5" s="30" t="str">
        <f>IF(Adatbevitel!C73=Adatbevitel!C161,"OK","HIBA!!!")</f>
        <v>OK</v>
      </c>
      <c r="C5" s="30" t="str">
        <f>IF(Adatbevitel!E73=Adatbevitel!E161,"OK","HIBA!!!")</f>
        <v>OK</v>
      </c>
      <c r="E5" s="206"/>
      <c r="F5" s="206"/>
      <c r="G5" s="206"/>
    </row>
    <row r="6" spans="1:7" ht="15.75">
      <c r="A6" s="2"/>
      <c r="B6" s="30"/>
      <c r="C6" s="30"/>
      <c r="E6" s="206"/>
      <c r="F6" s="206"/>
      <c r="G6" s="206"/>
    </row>
    <row r="7" spans="1:7" ht="15.75">
      <c r="A7" s="2" t="s">
        <v>340</v>
      </c>
      <c r="B7" s="30" t="str">
        <f>IF(Adatbevitel!C161=Adatbevitel!C206,"OK","HIBA!!!")</f>
        <v>HIBA!!!</v>
      </c>
      <c r="C7" s="30" t="str">
        <f>IF(Adatbevitel!E161=Adatbevitel!E206,"OK","HIBA!!!")</f>
        <v>HIBA!!!</v>
      </c>
      <c r="E7" s="206"/>
      <c r="F7" s="206"/>
      <c r="G7" s="206"/>
    </row>
    <row r="8" spans="1:7" ht="15.75">
      <c r="A8" s="2"/>
      <c r="B8" s="30"/>
      <c r="C8" s="30"/>
      <c r="E8" s="206"/>
      <c r="F8" s="206"/>
      <c r="G8" s="206"/>
    </row>
    <row r="9" spans="1:7" ht="15.75">
      <c r="A9" s="2" t="s">
        <v>341</v>
      </c>
      <c r="B9" s="30" t="str">
        <f>IF(Adatbevitel!C11+Adatbevitel!C19+Adatbevitel!C29=Adatbevitel!C71,"OK","HIBA")</f>
        <v>OK</v>
      </c>
      <c r="C9" s="30" t="str">
        <f>IF(Adatbevitel!E11+Adatbevitel!E19+Adatbevitel!E29=Adatbevitel!E71,"OK","HIBA")</f>
        <v>OK</v>
      </c>
      <c r="E9" s="206"/>
      <c r="F9" s="206"/>
      <c r="G9" s="206"/>
    </row>
    <row r="10" spans="1:7" ht="15.75">
      <c r="A10" s="2"/>
      <c r="B10" s="30"/>
      <c r="C10" s="30"/>
      <c r="E10" s="206"/>
      <c r="F10" s="206"/>
      <c r="G10" s="206"/>
    </row>
    <row r="11" spans="1:7" ht="16.5">
      <c r="A11" s="2" t="s">
        <v>342</v>
      </c>
      <c r="B11" s="30"/>
      <c r="C11" s="50" t="str">
        <f>IF((Adatbevitel!E34+Adatbevitel!E35+Adatbevitel!E36)-(Adatbevitel!C34+Adatbevitel!C35+Adatbevitel!C36)=Adatbevitel!E118,"OK","HIBA")</f>
        <v>OK</v>
      </c>
      <c r="E11" s="206"/>
      <c r="F11" s="206"/>
      <c r="G11" s="206"/>
    </row>
    <row r="12" spans="1:7">
      <c r="E12" s="206"/>
      <c r="F12" s="206"/>
      <c r="G12" s="206"/>
    </row>
    <row r="13" spans="1:7" ht="15.75">
      <c r="A13" s="2" t="s">
        <v>343</v>
      </c>
      <c r="B13" s="2"/>
      <c r="C13" s="30" t="e">
        <f>#REF!</f>
        <v>#REF!</v>
      </c>
      <c r="E13" s="203" t="s">
        <v>233</v>
      </c>
      <c r="F13" s="206"/>
      <c r="G13" s="206"/>
    </row>
    <row r="14" spans="1:7">
      <c r="E14" s="206"/>
      <c r="F14" s="206"/>
      <c r="G14" s="206"/>
    </row>
    <row r="15" spans="1:7">
      <c r="E15" s="206"/>
      <c r="F15" s="206"/>
      <c r="G15" s="206"/>
    </row>
  </sheetData>
  <sheetProtection selectLockedCells="1" selectUnlockedCells="1"/>
  <hyperlinks>
    <hyperlink ref="E1" location="Beszámoló!A1" display="Vissza a beszámolóhoz" xr:uid="{00000000-0004-0000-0500-000000000000}"/>
    <hyperlink ref="E13" location="'Cash-Flow'!A1" display="Cash-Flow" xr:uid="{00000000-0004-0000-0500-000001000000}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>
    <tabColor rgb="FFFFFF00"/>
  </sheetPr>
  <dimension ref="A1:N178"/>
  <sheetViews>
    <sheetView tabSelected="1" topLeftCell="A160" zoomScaleNormal="100" workbookViewId="0">
      <selection activeCell="AF39" sqref="AF39"/>
    </sheetView>
  </sheetViews>
  <sheetFormatPr defaultColWidth="8.88671875" defaultRowHeight="15" customHeight="1"/>
  <cols>
    <col min="1" max="1" width="5.77734375" style="283" customWidth="1"/>
    <col min="2" max="2" width="28.77734375" style="283" customWidth="1"/>
    <col min="3" max="3" width="3.33203125" style="283" customWidth="1"/>
    <col min="4" max="4" width="8.33203125" style="283" customWidth="1"/>
    <col min="5" max="5" width="9" style="283" bestFit="1" customWidth="1"/>
    <col min="6" max="6" width="8.33203125" style="283" customWidth="1"/>
    <col min="7" max="7" width="9" style="283" bestFit="1" customWidth="1"/>
    <col min="8" max="8" width="8.88671875" style="283"/>
    <col min="9" max="9" width="9.77734375" style="283" bestFit="1" customWidth="1"/>
    <col min="10" max="11" width="8.88671875" style="283"/>
    <col min="12" max="12" width="17.109375" style="442" bestFit="1" customWidth="1"/>
    <col min="13" max="13" width="8.88671875" style="283"/>
    <col min="14" max="14" width="13.21875" style="283" bestFit="1" customWidth="1"/>
    <col min="15" max="16384" width="8.88671875" style="283"/>
  </cols>
  <sheetData>
    <row r="1" spans="1:12" ht="12.75" customHeight="1">
      <c r="A1" s="463" t="str">
        <f>CONCATENATE(" Statisztikai számjel: ",Alapadatok!$E$6)</f>
        <v xml:space="preserve"> Statisztikai számjel: 10233342-4754-113-19</v>
      </c>
      <c r="B1" s="463"/>
      <c r="C1" s="330"/>
      <c r="D1" s="464"/>
      <c r="E1" s="464"/>
      <c r="F1" s="464"/>
      <c r="G1" s="464"/>
      <c r="I1" s="296"/>
    </row>
    <row r="2" spans="1:12" ht="12.75" customHeight="1">
      <c r="A2" s="463" t="str">
        <f>CONCATENATE(" Cégjegyzék szám: ",Alapadatok!$E$7)</f>
        <v xml:space="preserve"> Cégjegyzék szám: 19-09-513341</v>
      </c>
      <c r="B2" s="463"/>
      <c r="C2" s="282"/>
      <c r="D2" s="464"/>
      <c r="E2" s="464"/>
      <c r="F2" s="464"/>
      <c r="G2" s="464"/>
      <c r="I2" s="285"/>
    </row>
    <row r="3" spans="1:12" ht="12.75" customHeight="1">
      <c r="A3" s="277"/>
    </row>
    <row r="4" spans="1:12" ht="12.75" customHeight="1">
      <c r="A4" s="463" t="str">
        <f>Alapadatok!$E$9</f>
        <v>VÖRÖSKŐ KFT.</v>
      </c>
      <c r="B4" s="463"/>
      <c r="C4" s="276"/>
      <c r="D4" s="276"/>
      <c r="F4" s="465"/>
      <c r="G4" s="465"/>
    </row>
    <row r="5" spans="1:12" ht="12.75" customHeight="1">
      <c r="A5" s="276"/>
      <c r="B5" s="276"/>
      <c r="C5" s="276"/>
      <c r="D5" s="276"/>
      <c r="G5" s="284"/>
    </row>
    <row r="6" spans="1:12" ht="15" customHeight="1">
      <c r="A6" s="461" t="str">
        <f>IF(Beszámoló!$F$2=1,Nyelv_old!$E$14,IF(Beszámoló!$F$2=2,Nyelv_old!$F$14,IF(Beszámoló!$F$2=3,Nyelv_old!$G$14,Nyelv_old!$H$14)))</f>
        <v>"A" Mérleg</v>
      </c>
      <c r="B6" s="461"/>
      <c r="C6" s="461"/>
      <c r="D6" s="461"/>
      <c r="E6" s="461"/>
      <c r="F6" s="461"/>
      <c r="G6" s="461"/>
    </row>
    <row r="7" spans="1:12" ht="15" customHeight="1">
      <c r="A7" s="461"/>
      <c r="B7" s="461"/>
      <c r="C7" s="461"/>
      <c r="D7" s="461"/>
      <c r="E7" s="461"/>
      <c r="F7" s="461"/>
      <c r="G7" s="461"/>
    </row>
    <row r="8" spans="1:12" ht="15" customHeight="1">
      <c r="A8" s="462" t="s">
        <v>344</v>
      </c>
      <c r="B8" s="462"/>
      <c r="C8" s="462"/>
      <c r="D8" s="462"/>
      <c r="E8" s="462"/>
      <c r="F8" s="462"/>
      <c r="G8" s="462"/>
    </row>
    <row r="9" spans="1:12" ht="12.75" customHeight="1">
      <c r="A9" s="463" t="str">
        <f>IF(Beszámoló!$F$2=1,Nyelv_old!$E$15,IF(Beszámoló!$F$2=2,Nyelv_old!$F$15,IF(Beszámoló!$F$2=3,Nyelv_old!$G$15,Nyelv_old!$H$15)))</f>
        <v>Eszközök(aktívák)</v>
      </c>
      <c r="B9" s="463"/>
      <c r="C9" s="275"/>
      <c r="D9" s="275"/>
      <c r="E9" s="275"/>
      <c r="F9" s="275"/>
      <c r="G9" s="275"/>
    </row>
    <row r="10" spans="1:12" ht="12.75" customHeight="1">
      <c r="A10" s="279"/>
      <c r="B10" s="280"/>
      <c r="C10" s="279"/>
      <c r="D10" s="279"/>
      <c r="E10" s="279"/>
      <c r="F10" s="467" t="str">
        <f>IF(Beszámoló!$F$2=1,Nyelv_old!$E$16,IF(Beszámoló!$F$2=2,Nyelv_old!$F$16,IF(Beszámoló!$F$2=3,Nyelv_old!$G$16,Nyelv_old!$H$16)))</f>
        <v>adatok E Ft-ban</v>
      </c>
      <c r="G10" s="467"/>
    </row>
    <row r="11" spans="1:12" ht="36.75" customHeight="1">
      <c r="A11" s="288" t="str">
        <f>IF(Beszámoló!$F$2=1,Nyelv_old!$E$17,IF(Beszámoló!$F$2=2,Nyelv_old!$F$17,IF(Beszámoló!$F$2=3,Nyelv_old!$G$17,Nyelv_old!$H$17)))</f>
        <v>Sorszám</v>
      </c>
      <c r="B11" s="468" t="str">
        <f>IF(Beszámoló!$F$2=1,Nyelv_old!$E$18,IF(Beszámoló!$F$2=2,Nyelv_old!$F$18,IF(Beszámoló!$F$2=3,Nyelv_old!$G$18,Nyelv_old!$H$18)))</f>
        <v>A tétel megnevezése</v>
      </c>
      <c r="C11" s="468"/>
      <c r="D11" s="468"/>
      <c r="E11" s="447">
        <v>44742</v>
      </c>
      <c r="F11" s="449" t="s">
        <v>1123</v>
      </c>
      <c r="G11" s="448">
        <v>44926</v>
      </c>
    </row>
    <row r="12" spans="1:12" ht="12" customHeight="1">
      <c r="A12" s="298" t="s">
        <v>345</v>
      </c>
      <c r="B12" s="469" t="s">
        <v>346</v>
      </c>
      <c r="C12" s="469"/>
      <c r="D12" s="469"/>
      <c r="E12" s="331" t="s">
        <v>347</v>
      </c>
      <c r="F12" s="299" t="s">
        <v>348</v>
      </c>
      <c r="G12" s="300" t="s">
        <v>349</v>
      </c>
    </row>
    <row r="13" spans="1:12" ht="18.95" customHeight="1">
      <c r="A13" s="332" t="s">
        <v>350</v>
      </c>
      <c r="B13" s="470" t="str">
        <f>CHOOSE(Beszámoló!$F$2,Nyelv!B2,Nyelv!C2,Nyelv!D2,Nyelv!E2)</f>
        <v>A. Befektetett eszközök (2.+10.+18 sor)</v>
      </c>
      <c r="C13" s="470"/>
      <c r="D13" s="470"/>
      <c r="E13" s="333">
        <f>Adatbevitel!C3</f>
        <v>6187666</v>
      </c>
      <c r="F13" s="334">
        <f>Adatbevitel!D3</f>
        <v>0</v>
      </c>
      <c r="G13" s="335">
        <f>Adatbevitel!E3</f>
        <v>6446950</v>
      </c>
      <c r="L13" s="445"/>
    </row>
    <row r="14" spans="1:12" ht="18.95" customHeight="1">
      <c r="A14" s="289" t="s">
        <v>351</v>
      </c>
      <c r="B14" s="466" t="str">
        <f>CHOOSE(Beszámoló!$F$2,Nyelv!B3,Nyelv!C3,Nyelv!D3,Nyelv!E3)</f>
        <v>I. IMMATERIÁLIS JAVAK (3.-9. sorok)</v>
      </c>
      <c r="C14" s="466"/>
      <c r="D14" s="466"/>
      <c r="E14" s="336">
        <f>Adatbevitel!C4</f>
        <v>790451</v>
      </c>
      <c r="F14" s="336">
        <f>Adatbevitel!D4</f>
        <v>0</v>
      </c>
      <c r="G14" s="337">
        <f>Adatbevitel!E4</f>
        <v>745320</v>
      </c>
      <c r="L14" s="445"/>
    </row>
    <row r="15" spans="1:12" ht="18.95" customHeight="1">
      <c r="A15" s="289" t="s">
        <v>352</v>
      </c>
      <c r="B15" s="466" t="str">
        <f>CHOOSE(Beszámoló!$F$2,Nyelv!B4,Nyelv!C4,Nyelv!D4,Nyelv!E4)</f>
        <v>1. Alapítás-átszervezés aktívált értéke</v>
      </c>
      <c r="C15" s="466"/>
      <c r="D15" s="466"/>
      <c r="E15" s="308">
        <f>Adatbevitel!C5</f>
        <v>36591</v>
      </c>
      <c r="F15" s="308">
        <f>Adatbevitel!D5</f>
        <v>0</v>
      </c>
      <c r="G15" s="309">
        <f>Adatbevitel!E5</f>
        <v>29226</v>
      </c>
      <c r="L15" s="445"/>
    </row>
    <row r="16" spans="1:12" ht="18.95" customHeight="1">
      <c r="A16" s="289" t="s">
        <v>353</v>
      </c>
      <c r="B16" s="466" t="str">
        <f>CHOOSE(Beszámoló!$F$2,Nyelv!B5,Nyelv!C5,Nyelv!D5,Nyelv!E5)</f>
        <v>2. Kísérleti fejlesztés aktivált értéke</v>
      </c>
      <c r="C16" s="466"/>
      <c r="D16" s="466"/>
      <c r="E16" s="308">
        <f>Adatbevitel!C6</f>
        <v>0</v>
      </c>
      <c r="F16" s="308">
        <f>Adatbevitel!D6</f>
        <v>0</v>
      </c>
      <c r="G16" s="309">
        <f>Adatbevitel!E6</f>
        <v>0</v>
      </c>
      <c r="L16" s="445"/>
    </row>
    <row r="17" spans="1:12" ht="18.95" customHeight="1">
      <c r="A17" s="289" t="s">
        <v>354</v>
      </c>
      <c r="B17" s="466" t="str">
        <f>CHOOSE(Beszámoló!$F$2,Nyelv!B6,Nyelv!C6,Nyelv!D6,Nyelv!E6)</f>
        <v>3. Vagyoni értékű jogok</v>
      </c>
      <c r="C17" s="466"/>
      <c r="D17" s="466"/>
      <c r="E17" s="308">
        <f>Adatbevitel!C7</f>
        <v>359435</v>
      </c>
      <c r="F17" s="308">
        <f>Adatbevitel!D7</f>
        <v>0</v>
      </c>
      <c r="G17" s="309">
        <f>Adatbevitel!E7</f>
        <v>328497</v>
      </c>
      <c r="L17" s="445"/>
    </row>
    <row r="18" spans="1:12" ht="18.95" customHeight="1">
      <c r="A18" s="289" t="s">
        <v>355</v>
      </c>
      <c r="B18" s="466" t="str">
        <f>CHOOSE(Beszámoló!$F$2,Nyelv!B7,Nyelv!C7,Nyelv!D7,Nyelv!E7)</f>
        <v>4. Szellemi termékek</v>
      </c>
      <c r="C18" s="466"/>
      <c r="D18" s="466"/>
      <c r="E18" s="308">
        <f>Adatbevitel!C8</f>
        <v>394425</v>
      </c>
      <c r="F18" s="308">
        <f>Adatbevitel!D8</f>
        <v>0</v>
      </c>
      <c r="G18" s="309">
        <f>Adatbevitel!E8</f>
        <v>387597</v>
      </c>
      <c r="L18" s="445"/>
    </row>
    <row r="19" spans="1:12" ht="18.95" customHeight="1">
      <c r="A19" s="289" t="s">
        <v>356</v>
      </c>
      <c r="B19" s="466" t="str">
        <f>CHOOSE(Beszámoló!$F$2,Nyelv!B8,Nyelv!C8,Nyelv!D8,Nyelv!E8)</f>
        <v>5. Üzleti vagy cégérték</v>
      </c>
      <c r="C19" s="466"/>
      <c r="D19" s="466"/>
      <c r="E19" s="338">
        <f>Adatbevitel!C9</f>
        <v>0</v>
      </c>
      <c r="F19" s="338">
        <f>Adatbevitel!D9</f>
        <v>0</v>
      </c>
      <c r="G19" s="309">
        <f>Adatbevitel!E9</f>
        <v>0</v>
      </c>
      <c r="L19" s="445"/>
    </row>
    <row r="20" spans="1:12" ht="18.95" customHeight="1">
      <c r="A20" s="289" t="s">
        <v>357</v>
      </c>
      <c r="B20" s="466" t="str">
        <f>CHOOSE(Beszámoló!$F$2,Nyelv!B9,Nyelv!C9,Nyelv!D9,Nyelv!E9)</f>
        <v>6. Immateriális javakra adott előlegek</v>
      </c>
      <c r="C20" s="466"/>
      <c r="D20" s="466"/>
      <c r="E20" s="339">
        <f>Adatbevitel!C10</f>
        <v>0</v>
      </c>
      <c r="F20" s="340">
        <f>Adatbevitel!D10</f>
        <v>0</v>
      </c>
      <c r="G20" s="309">
        <f>Adatbevitel!E10</f>
        <v>0</v>
      </c>
      <c r="L20" s="445"/>
    </row>
    <row r="21" spans="1:12" ht="18.95" customHeight="1">
      <c r="A21" s="289" t="s">
        <v>358</v>
      </c>
      <c r="B21" s="466" t="str">
        <f>CHOOSE(Beszámoló!$F$2,Nyelv!B10,Nyelv!C10,Nyelv!D10,Nyelv!E10)</f>
        <v>7. Immateriális javak értékhelyesbítése</v>
      </c>
      <c r="C21" s="466"/>
      <c r="D21" s="466"/>
      <c r="E21" s="305">
        <f>Adatbevitel!C11</f>
        <v>0</v>
      </c>
      <c r="F21" s="305">
        <f>Adatbevitel!D11</f>
        <v>0</v>
      </c>
      <c r="G21" s="309">
        <f>Adatbevitel!E11</f>
        <v>0</v>
      </c>
      <c r="L21" s="445"/>
    </row>
    <row r="22" spans="1:12" ht="18.95" customHeight="1">
      <c r="A22" s="289" t="s">
        <v>359</v>
      </c>
      <c r="B22" s="466" t="str">
        <f>CHOOSE(Beszámoló!$F$2,Nyelv!B11,Nyelv!C11,Nyelv!D11,Nyelv!E11)</f>
        <v>II. TÁRGYI ESZKÖZÖK (11.-17. sorok)</v>
      </c>
      <c r="C22" s="466"/>
      <c r="D22" s="466"/>
      <c r="E22" s="336">
        <f>Adatbevitel!C12</f>
        <v>5185702</v>
      </c>
      <c r="F22" s="336">
        <f>Adatbevitel!D12</f>
        <v>0</v>
      </c>
      <c r="G22" s="337">
        <f>Adatbevitel!E12</f>
        <v>5501362</v>
      </c>
      <c r="L22" s="445"/>
    </row>
    <row r="23" spans="1:12" ht="18.95" customHeight="1">
      <c r="A23" s="289" t="s">
        <v>360</v>
      </c>
      <c r="B23" s="466" t="str">
        <f>CHOOSE(Beszámoló!$F$2,Nyelv!B12,Nyelv!C12,Nyelv!D12,Nyelv!E12)</f>
        <v>1. Ingatlanok és a kapcsolódó vagyoni értékű jogok</v>
      </c>
      <c r="C23" s="466"/>
      <c r="D23" s="466"/>
      <c r="E23" s="308">
        <f>Adatbevitel!C13</f>
        <v>2498627</v>
      </c>
      <c r="F23" s="308">
        <f>Adatbevitel!D13</f>
        <v>0</v>
      </c>
      <c r="G23" s="309">
        <f>Adatbevitel!E13</f>
        <v>2515265</v>
      </c>
    </row>
    <row r="24" spans="1:12" ht="18.95" customHeight="1">
      <c r="A24" s="289" t="s">
        <v>361</v>
      </c>
      <c r="B24" s="466" t="str">
        <f>CHOOSE(Beszámoló!$F$2,Nyelv!B13,Nyelv!C13,Nyelv!D13,Nyelv!E13)</f>
        <v>2. Műszaki berendezések, gépek, járművek</v>
      </c>
      <c r="C24" s="466"/>
      <c r="D24" s="466"/>
      <c r="E24" s="308">
        <f>Adatbevitel!C14</f>
        <v>2145792</v>
      </c>
      <c r="F24" s="308">
        <f>Adatbevitel!D14</f>
        <v>0</v>
      </c>
      <c r="G24" s="309">
        <f>Adatbevitel!E14</f>
        <v>2110118</v>
      </c>
    </row>
    <row r="25" spans="1:12" ht="18.95" customHeight="1">
      <c r="A25" s="289" t="s">
        <v>362</v>
      </c>
      <c r="B25" s="466" t="str">
        <f>CHOOSE(Beszámoló!$F$2,Nyelv!B14,Nyelv!C14,Nyelv!D14,Nyelv!E14)</f>
        <v>3. Egyéb berendezések, felszerelések, járművek</v>
      </c>
      <c r="C25" s="466"/>
      <c r="D25" s="466"/>
      <c r="E25" s="308">
        <f>Adatbevitel!C15</f>
        <v>328407</v>
      </c>
      <c r="F25" s="308">
        <f>Adatbevitel!D15</f>
        <v>0</v>
      </c>
      <c r="G25" s="309">
        <f>Adatbevitel!E15</f>
        <v>304441</v>
      </c>
    </row>
    <row r="26" spans="1:12" ht="18.95" customHeight="1">
      <c r="A26" s="289" t="s">
        <v>363</v>
      </c>
      <c r="B26" s="466" t="str">
        <f>CHOOSE(Beszámoló!$F$2,Nyelv!B15,Nyelv!C15,Nyelv!D15,Nyelv!E15)</f>
        <v>4. Tenyészállatok</v>
      </c>
      <c r="C26" s="466"/>
      <c r="D26" s="466"/>
      <c r="E26" s="308">
        <f>Adatbevitel!C16</f>
        <v>0</v>
      </c>
      <c r="F26" s="308">
        <f>Adatbevitel!D16</f>
        <v>0</v>
      </c>
      <c r="G26" s="309">
        <f>Adatbevitel!E16</f>
        <v>0</v>
      </c>
    </row>
    <row r="27" spans="1:12" ht="18.95" customHeight="1">
      <c r="A27" s="289" t="s">
        <v>364</v>
      </c>
      <c r="B27" s="466" t="str">
        <f>CHOOSE(Beszámoló!$F$2,Nyelv!B16,Nyelv!C16,Nyelv!D16,Nyelv!E16)</f>
        <v>5. Beruházások, felújítások</v>
      </c>
      <c r="C27" s="466"/>
      <c r="D27" s="466"/>
      <c r="E27" s="308">
        <f>Adatbevitel!C17</f>
        <v>150900</v>
      </c>
      <c r="F27" s="308">
        <f>Adatbevitel!D17</f>
        <v>0</v>
      </c>
      <c r="G27" s="309">
        <f>Adatbevitel!E17</f>
        <v>511537</v>
      </c>
    </row>
    <row r="28" spans="1:12" ht="18.95" customHeight="1">
      <c r="A28" s="289" t="s">
        <v>365</v>
      </c>
      <c r="B28" s="466" t="str">
        <f>CHOOSE(Beszámoló!$F$2,Nyelv!B17,Nyelv!C17,Nyelv!D17,Nyelv!E17)</f>
        <v>6. Beruházásokra adott előlegek</v>
      </c>
      <c r="C28" s="466"/>
      <c r="D28" s="466"/>
      <c r="E28" s="308">
        <f>Adatbevitel!C18</f>
        <v>61976</v>
      </c>
      <c r="F28" s="308">
        <f>Adatbevitel!D18</f>
        <v>0</v>
      </c>
      <c r="G28" s="309">
        <f>Adatbevitel!E18</f>
        <v>60001</v>
      </c>
    </row>
    <row r="29" spans="1:12" ht="18.95" customHeight="1">
      <c r="A29" s="289" t="s">
        <v>366</v>
      </c>
      <c r="B29" s="466" t="str">
        <f>CHOOSE(Beszámoló!$F$2,Nyelv!B18,Nyelv!C18,Nyelv!D18,Nyelv!E18)</f>
        <v>7. Tárgyi eszközök értékhelyesbítése</v>
      </c>
      <c r="C29" s="466"/>
      <c r="D29" s="466"/>
      <c r="E29" s="308">
        <f>Adatbevitel!C19</f>
        <v>0</v>
      </c>
      <c r="F29" s="308">
        <f>Adatbevitel!D19</f>
        <v>0</v>
      </c>
      <c r="G29" s="309">
        <f>Adatbevitel!E19</f>
        <v>0</v>
      </c>
    </row>
    <row r="30" spans="1:12" ht="18.95" customHeight="1">
      <c r="A30" s="289" t="s">
        <v>367</v>
      </c>
      <c r="B30" s="466" t="str">
        <f>CHOOSE(Beszámoló!$F$2,Nyelv!B19,Nyelv!C19,Nyelv!D19,Nyelv!E19)</f>
        <v>III. BEFEKTETETT PÉNZÜGYI ESZKÖZÖK (19.-28. sorok)</v>
      </c>
      <c r="C30" s="466"/>
      <c r="D30" s="466"/>
      <c r="E30" s="336">
        <f>Adatbevitel!C20</f>
        <v>211513</v>
      </c>
      <c r="F30" s="336">
        <f>Adatbevitel!D20</f>
        <v>0</v>
      </c>
      <c r="G30" s="337">
        <f>Adatbevitel!E20</f>
        <v>200268</v>
      </c>
    </row>
    <row r="31" spans="1:12" ht="18.95" customHeight="1">
      <c r="A31" s="289">
        <v>19</v>
      </c>
      <c r="B31" s="466" t="str">
        <f>CHOOSE(Beszámoló!$F$2,Nyelv!B20,Nyelv!C20,Nyelv!D20,Nyelv!E20)</f>
        <v>1. Tartós részesedés kapcsolt vállalkozásban</v>
      </c>
      <c r="C31" s="466"/>
      <c r="D31" s="466"/>
      <c r="E31" s="308">
        <f>Adatbevitel!C21</f>
        <v>0</v>
      </c>
      <c r="F31" s="308">
        <f>Adatbevitel!D21</f>
        <v>0</v>
      </c>
      <c r="G31" s="309">
        <f>Adatbevitel!E21</f>
        <v>0</v>
      </c>
    </row>
    <row r="32" spans="1:12" ht="18.95" customHeight="1">
      <c r="A32" s="289">
        <v>20</v>
      </c>
      <c r="B32" s="466" t="str">
        <f>CHOOSE(Beszámoló!$F$2,Nyelv!B21,Nyelv!C21,Nyelv!D21,Nyelv!E21)</f>
        <v>2. Tartósan adott kölcsön kapcsolt vállalkozásban</v>
      </c>
      <c r="C32" s="466"/>
      <c r="D32" s="466"/>
      <c r="E32" s="308">
        <f>Adatbevitel!C22</f>
        <v>0</v>
      </c>
      <c r="F32" s="308">
        <f>Adatbevitel!D22</f>
        <v>0</v>
      </c>
      <c r="G32" s="309">
        <f>Adatbevitel!E22</f>
        <v>0</v>
      </c>
    </row>
    <row r="33" spans="1:9" ht="18.95" customHeight="1">
      <c r="A33" s="293">
        <v>21</v>
      </c>
      <c r="B33" s="466" t="str">
        <f>CHOOSE(Beszámoló!$F$2,Nyelv!B22,Nyelv!C22,Nyelv!D22,Nyelv!E22)</f>
        <v>3. Tartós jelentős tulajdoni részesedés</v>
      </c>
      <c r="C33" s="466"/>
      <c r="D33" s="466"/>
      <c r="E33" s="338">
        <f>Adatbevitel!C23</f>
        <v>0</v>
      </c>
      <c r="F33" s="338">
        <f>Adatbevitel!D23</f>
        <v>0</v>
      </c>
      <c r="G33" s="341">
        <f>Adatbevitel!E23</f>
        <v>0</v>
      </c>
    </row>
    <row r="34" spans="1:9" ht="22.5" customHeight="1">
      <c r="A34" s="342" t="s">
        <v>368</v>
      </c>
      <c r="B34" s="473" t="str">
        <f>CHOOSE(Beszámoló!$F$2,Nyelv!B23,Nyelv!C23,Nyelv!D23,Nyelv!E23)</f>
        <v>4. Tartósan adott kölcsön jelentős tulajdoni részesedési viszonyban álló vállalkozásban</v>
      </c>
      <c r="C34" s="473"/>
      <c r="D34" s="473"/>
      <c r="E34" s="338">
        <f>Adatbevitel!C24</f>
        <v>0</v>
      </c>
      <c r="F34" s="338">
        <f>Adatbevitel!D24</f>
        <v>0</v>
      </c>
      <c r="G34" s="309">
        <f>Adatbevitel!E24</f>
        <v>0</v>
      </c>
    </row>
    <row r="35" spans="1:9" ht="18.95" customHeight="1">
      <c r="A35" s="343" t="s">
        <v>369</v>
      </c>
      <c r="B35" s="466" t="str">
        <f>CHOOSE(Beszámoló!$F$2,Nyelv!B24,Nyelv!C24,Nyelv!D24,Nyelv!E24)</f>
        <v>5. Egyéb tartós részesedés</v>
      </c>
      <c r="C35" s="466"/>
      <c r="D35" s="466"/>
      <c r="E35" s="308">
        <f>Adatbevitel!C25</f>
        <v>0</v>
      </c>
      <c r="F35" s="308">
        <f>Adatbevitel!D25</f>
        <v>0</v>
      </c>
      <c r="G35" s="306">
        <f>Adatbevitel!E25</f>
        <v>0</v>
      </c>
    </row>
    <row r="36" spans="1:9" ht="18.95" customHeight="1">
      <c r="A36" s="289" t="s">
        <v>370</v>
      </c>
      <c r="B36" s="474" t="str">
        <f>CHOOSE(Beszámoló!$F$2,Nyelv!B25,Nyelv!C25,Nyelv!D25,Nyelv!E25)</f>
        <v>6. Tartósan adott kölcsön egyéb részesedési viszonyban álló vállalkozásban</v>
      </c>
      <c r="C36" s="474"/>
      <c r="D36" s="474"/>
      <c r="E36" s="308">
        <f>Adatbevitel!C26</f>
        <v>0</v>
      </c>
      <c r="F36" s="308">
        <f>Adatbevitel!D26</f>
        <v>0</v>
      </c>
      <c r="G36" s="309">
        <f>Adatbevitel!E26</f>
        <v>0</v>
      </c>
    </row>
    <row r="37" spans="1:9" ht="18.95" customHeight="1">
      <c r="A37" s="293" t="s">
        <v>371</v>
      </c>
      <c r="B37" s="466" t="str">
        <f>CHOOSE(Beszámoló!$F$2,Nyelv!B26,Nyelv!C26,Nyelv!D26,Nyelv!E26)</f>
        <v>7. Egyéb tartósan adott kölcsön</v>
      </c>
      <c r="C37" s="466"/>
      <c r="D37" s="466"/>
      <c r="E37" s="308">
        <f>Adatbevitel!C27</f>
        <v>211513</v>
      </c>
      <c r="F37" s="308">
        <f>Adatbevitel!D27</f>
        <v>0</v>
      </c>
      <c r="G37" s="309">
        <f>Adatbevitel!E27</f>
        <v>200268</v>
      </c>
    </row>
    <row r="38" spans="1:9" ht="18.95" customHeight="1">
      <c r="A38" s="289" t="s">
        <v>372</v>
      </c>
      <c r="B38" s="466" t="str">
        <f>CHOOSE(Beszámoló!$F$2,Nyelv!B27,Nyelv!C27,Nyelv!D27,Nyelv!E27)</f>
        <v>8. Tartós hitelviszonyt megtestesítő értékpapír</v>
      </c>
      <c r="C38" s="466"/>
      <c r="D38" s="466"/>
      <c r="E38" s="344">
        <f>Adatbevitel!C28</f>
        <v>0</v>
      </c>
      <c r="F38" s="344">
        <f>Adatbevitel!D28</f>
        <v>0</v>
      </c>
      <c r="G38" s="309">
        <f>Adatbevitel!E28</f>
        <v>0</v>
      </c>
    </row>
    <row r="39" spans="1:9" ht="18.95" customHeight="1">
      <c r="A39" s="289" t="s">
        <v>373</v>
      </c>
      <c r="B39" s="466" t="str">
        <f>CHOOSE(Beszámoló!$F$2,Nyelv!B28,Nyelv!C28,Nyelv!D28,Nyelv!E28)</f>
        <v>9. Befektetett pénzügyi eszközök értékhelyesbítése</v>
      </c>
      <c r="C39" s="466"/>
      <c r="D39" s="466"/>
      <c r="E39" s="344">
        <f>Adatbevitel!C29</f>
        <v>0</v>
      </c>
      <c r="F39" s="344">
        <f>Adatbevitel!D29</f>
        <v>0</v>
      </c>
      <c r="G39" s="309">
        <f>Adatbevitel!E29</f>
        <v>0</v>
      </c>
    </row>
    <row r="40" spans="1:9" ht="18.95" customHeight="1">
      <c r="A40" s="289" t="s">
        <v>374</v>
      </c>
      <c r="B40" s="466" t="str">
        <f>CHOOSE(Beszámoló!$F$2,Nyelv!B29,Nyelv!C29,Nyelv!D29,Nyelv!E29)</f>
        <v>10. Befektetett pénzügyi eszközök értékelési különbözete</v>
      </c>
      <c r="C40" s="466"/>
      <c r="D40" s="466"/>
      <c r="E40" s="344">
        <f>Adatbevitel!C30</f>
        <v>0</v>
      </c>
      <c r="F40" s="344">
        <f>Adatbevitel!D30</f>
        <v>0</v>
      </c>
      <c r="G40" s="309">
        <f>Adatbevitel!E30</f>
        <v>0</v>
      </c>
    </row>
    <row r="41" spans="1:9" ht="12.75" customHeight="1">
      <c r="A41" s="279"/>
      <c r="B41" s="279"/>
      <c r="C41" s="279"/>
      <c r="D41" s="279"/>
      <c r="E41" s="279"/>
      <c r="F41" s="279"/>
      <c r="G41" s="279"/>
    </row>
    <row r="42" spans="1:9" ht="12.75" customHeight="1">
      <c r="A42" s="279" t="str">
        <f xml:space="preserve"> Alapadatok!E12</f>
        <v>Veszprém, 2023. január 30</v>
      </c>
      <c r="B42" s="279"/>
      <c r="C42" s="279"/>
      <c r="D42" s="279"/>
      <c r="E42" s="279"/>
      <c r="F42" s="279"/>
      <c r="G42" s="279"/>
    </row>
    <row r="43" spans="1:9" ht="12.75" customHeight="1">
      <c r="A43" s="317"/>
      <c r="B43" s="317"/>
      <c r="C43" s="277"/>
      <c r="D43" s="277"/>
      <c r="E43" s="318"/>
      <c r="F43" s="277"/>
      <c r="G43" s="277"/>
    </row>
    <row r="44" spans="1:9" ht="12.75" customHeight="1">
      <c r="A44" s="277"/>
      <c r="B44" s="277"/>
      <c r="C44" s="277"/>
      <c r="D44" s="277"/>
      <c r="E44" s="471" t="str">
        <f>IF(Beszámoló!$F$2=1,Nyelv_old!$E$7,IF(Beszámoló!$F$2=2,Nyelv_old!$F$7,IF(Beszámoló!$F$2=3,Nyelv_old!$G$7,Nyelv_old!$H$7)))</f>
        <v>a vállalkozás vezetője</v>
      </c>
      <c r="F44" s="471"/>
      <c r="G44" s="471"/>
    </row>
    <row r="45" spans="1:9" ht="12.75" customHeight="1">
      <c r="A45" s="277"/>
      <c r="B45" s="277"/>
      <c r="C45" s="277"/>
      <c r="D45" s="277"/>
      <c r="E45" s="472" t="str">
        <f>IF(Beszámoló!$F$2=1,Nyelv_old!$E$8,IF(Beszámoló!$F$2=2,Nyelv_old!$F$8,IF(Beszámoló!$F$2=3,Nyelv_old!$G$8,Nyelv_old!$H$8)))</f>
        <v>(képviselője)</v>
      </c>
      <c r="F45" s="472"/>
      <c r="G45" s="472"/>
    </row>
    <row r="46" spans="1:9" ht="12.75" customHeight="1">
      <c r="A46" s="463"/>
      <c r="B46" s="463"/>
      <c r="C46" s="278"/>
      <c r="D46" s="464"/>
      <c r="E46" s="464"/>
      <c r="F46" s="464"/>
      <c r="G46" s="464"/>
      <c r="I46" s="296"/>
    </row>
    <row r="47" spans="1:9" ht="12.75" customHeight="1">
      <c r="A47" s="463"/>
      <c r="B47" s="463"/>
      <c r="C47" s="282"/>
      <c r="D47" s="464"/>
      <c r="E47" s="464"/>
      <c r="F47" s="464"/>
      <c r="G47" s="464"/>
      <c r="I47" s="287"/>
    </row>
    <row r="48" spans="1:9" ht="12.75" customHeight="1">
      <c r="A48" s="277"/>
    </row>
    <row r="49" spans="1:9" ht="12.75" customHeight="1">
      <c r="A49" s="463" t="str">
        <f>Alapadatok!$E$9</f>
        <v>VÖRÖSKŐ KFT.</v>
      </c>
      <c r="B49" s="463"/>
      <c r="C49" s="276"/>
      <c r="D49" s="276"/>
      <c r="F49" s="465"/>
      <c r="G49" s="465"/>
    </row>
    <row r="50" spans="1:9" ht="12.75" customHeight="1">
      <c r="A50" s="276"/>
      <c r="B50" s="276"/>
      <c r="C50" s="276"/>
      <c r="D50" s="276"/>
      <c r="G50" s="284"/>
    </row>
    <row r="51" spans="1:9" ht="15" customHeight="1">
      <c r="A51" s="461" t="str">
        <f>IF(Beszámoló!$F$2=1,Nyelv_old!$E$14,IF(Beszámoló!$F$2=2,Nyelv_old!$F$14,IF(Beszámoló!$F$2=3,Nyelv_old!$G$14,Nyelv_old!$H$14)))</f>
        <v>"A" Mérleg</v>
      </c>
      <c r="B51" s="461"/>
      <c r="C51" s="461"/>
      <c r="D51" s="461"/>
      <c r="E51" s="461"/>
      <c r="F51" s="461"/>
      <c r="G51" s="461"/>
    </row>
    <row r="52" spans="1:9" ht="6.75" customHeight="1">
      <c r="A52" s="461"/>
      <c r="B52" s="461"/>
      <c r="C52" s="461"/>
      <c r="D52" s="461"/>
      <c r="E52" s="461"/>
      <c r="F52" s="461"/>
      <c r="G52" s="461"/>
    </row>
    <row r="53" spans="1:9" ht="15" customHeight="1">
      <c r="A53" s="462" t="s">
        <v>375</v>
      </c>
      <c r="B53" s="462"/>
      <c r="C53" s="462"/>
      <c r="D53" s="462"/>
      <c r="E53" s="462"/>
      <c r="F53" s="462"/>
      <c r="G53" s="462"/>
    </row>
    <row r="54" spans="1:9" ht="12.75" customHeight="1">
      <c r="A54" s="463" t="str">
        <f>IF(Beszámoló!$F$2=1,Nyelv_old!$E$15,IF(Beszámoló!$F$2=2,Nyelv_old!$F$15,IF(Beszámoló!$F$2=3,Nyelv_old!$G$15,Nyelv_old!$H$15)))</f>
        <v>Eszközök(aktívák)</v>
      </c>
      <c r="B54" s="463"/>
      <c r="C54" s="275"/>
      <c r="D54" s="275"/>
      <c r="E54" s="275"/>
      <c r="F54" s="275"/>
      <c r="G54" s="275"/>
    </row>
    <row r="55" spans="1:9" ht="12.75" customHeight="1">
      <c r="A55" s="279"/>
      <c r="B55" s="280"/>
      <c r="C55" s="279"/>
      <c r="D55" s="279"/>
      <c r="E55" s="279"/>
      <c r="F55" s="467" t="str">
        <f>IF(Beszámoló!$F$2=1,Nyelv_old!$E$16,IF(Beszámoló!$F$2=2,Nyelv_old!$F$16,IF(Beszámoló!$F$2=3,Nyelv_old!$G$16,Nyelv_old!$H$16)))</f>
        <v>adatok E Ft-ban</v>
      </c>
      <c r="G55" s="467"/>
    </row>
    <row r="56" spans="1:9" ht="36.75" customHeight="1">
      <c r="A56" s="288" t="str">
        <f>IF(Beszámoló!$F$2=1,Nyelv_old!$E$17,IF(Beszámoló!$F$2=2,Nyelv_old!$F$17,IF(Beszámoló!$F$2=3,Nyelv_old!$G$17,Nyelv_old!$H$17)))</f>
        <v>Sorszám</v>
      </c>
      <c r="B56" s="468" t="str">
        <f>IF(Beszámoló!$F$2=1,Nyelv_old!$E$18,IF(Beszámoló!$F$2=2,Nyelv_old!$F$18,IF(Beszámoló!$F$2=3,Nyelv_old!$G$18,Nyelv_old!$H$18)))</f>
        <v>A tétel megnevezése</v>
      </c>
      <c r="C56" s="468"/>
      <c r="D56" s="468"/>
      <c r="E56" s="447">
        <v>44742</v>
      </c>
      <c r="F56" s="449" t="s">
        <v>1123</v>
      </c>
      <c r="G56" s="448">
        <v>44926</v>
      </c>
    </row>
    <row r="57" spans="1:9" ht="12" customHeight="1">
      <c r="A57" s="298" t="s">
        <v>345</v>
      </c>
      <c r="B57" s="469" t="s">
        <v>346</v>
      </c>
      <c r="C57" s="469"/>
      <c r="D57" s="469"/>
      <c r="E57" s="331" t="s">
        <v>347</v>
      </c>
      <c r="F57" s="299" t="s">
        <v>348</v>
      </c>
      <c r="G57" s="300" t="s">
        <v>349</v>
      </c>
    </row>
    <row r="58" spans="1:9" ht="17.100000000000001" customHeight="1">
      <c r="A58" s="345" t="s">
        <v>376</v>
      </c>
      <c r="B58" s="470" t="str">
        <f>CHOOSE(Beszámoló!$F$2,Nyelv!B30,Nyelv!C30,Nyelv!D30,Nyelv!E30)</f>
        <v>B. Forgóeszközök (30.+37.+46.+53)</v>
      </c>
      <c r="C58" s="470"/>
      <c r="D58" s="470"/>
      <c r="E58" s="334">
        <f>Adatbevitel!C31</f>
        <v>31033929</v>
      </c>
      <c r="F58" s="346">
        <f>Adatbevitel!D31</f>
        <v>0</v>
      </c>
      <c r="G58" s="335">
        <f>Adatbevitel!E31</f>
        <v>32899160</v>
      </c>
      <c r="I58" s="277"/>
    </row>
    <row r="59" spans="1:9" ht="17.100000000000001" customHeight="1">
      <c r="A59" s="289" t="s">
        <v>377</v>
      </c>
      <c r="B59" s="470" t="str">
        <f>CHOOSE(Beszámoló!$F$2,Nyelv!B31,Nyelv!C31,Nyelv!D31,Nyelv!E31)</f>
        <v>I. KÉSZLETEK (31-36. sorok)</v>
      </c>
      <c r="C59" s="470"/>
      <c r="D59" s="470"/>
      <c r="E59" s="347">
        <f>Adatbevitel!C32</f>
        <v>23726206</v>
      </c>
      <c r="F59" s="348">
        <f>Adatbevitel!D32</f>
        <v>0</v>
      </c>
      <c r="G59" s="349">
        <f>Adatbevitel!E32</f>
        <v>17841586</v>
      </c>
    </row>
    <row r="60" spans="1:9" ht="14.1" customHeight="1">
      <c r="A60" s="322" t="s">
        <v>378</v>
      </c>
      <c r="B60" s="466" t="str">
        <f>CHOOSE(Beszámoló!$F$2,Nyelv!B32,Nyelv!C32,Nyelv!D32,Nyelv!E32)</f>
        <v>1. Anyagok</v>
      </c>
      <c r="C60" s="466"/>
      <c r="D60" s="466"/>
      <c r="E60" s="350">
        <f>Adatbevitel!C33</f>
        <v>2222</v>
      </c>
      <c r="F60" s="305">
        <f>Adatbevitel!D33</f>
        <v>0</v>
      </c>
      <c r="G60" s="306">
        <f>Adatbevitel!E33</f>
        <v>15232</v>
      </c>
    </row>
    <row r="61" spans="1:9" ht="17.100000000000001" customHeight="1">
      <c r="A61" s="289" t="s">
        <v>379</v>
      </c>
      <c r="B61" s="466" t="str">
        <f>CHOOSE(Beszámoló!$F$2,Nyelv!B33,Nyelv!C33,Nyelv!D33,Nyelv!E33)</f>
        <v>2. Befejezetlen termelés és félkész termékek</v>
      </c>
      <c r="C61" s="466"/>
      <c r="D61" s="466"/>
      <c r="E61" s="350">
        <f>Adatbevitel!C34</f>
        <v>0</v>
      </c>
      <c r="F61" s="305">
        <f>Adatbevitel!D34</f>
        <v>0</v>
      </c>
      <c r="G61" s="306">
        <f>Adatbevitel!E34</f>
        <v>0</v>
      </c>
    </row>
    <row r="62" spans="1:9" ht="17.100000000000001" customHeight="1">
      <c r="A62" s="322" t="s">
        <v>380</v>
      </c>
      <c r="B62" s="466" t="str">
        <f>CHOOSE(Beszámoló!$F$2,Nyelv!B34,Nyelv!C34,Nyelv!D34,Nyelv!E34)</f>
        <v>3. Növendék-, hízó- és egyéb állatok</v>
      </c>
      <c r="C62" s="466"/>
      <c r="D62" s="466"/>
      <c r="E62" s="350">
        <f>Adatbevitel!C35</f>
        <v>0</v>
      </c>
      <c r="F62" s="305">
        <f>Adatbevitel!D35</f>
        <v>0</v>
      </c>
      <c r="G62" s="306">
        <f>Adatbevitel!E35</f>
        <v>0</v>
      </c>
    </row>
    <row r="63" spans="1:9" ht="17.100000000000001" customHeight="1">
      <c r="A63" s="289" t="s">
        <v>381</v>
      </c>
      <c r="B63" s="466" t="str">
        <f>CHOOSE(Beszámoló!$F$2,Nyelv!B35,Nyelv!C35,Nyelv!D35,Nyelv!E35)</f>
        <v>4. Késztermékek</v>
      </c>
      <c r="C63" s="466"/>
      <c r="D63" s="466"/>
      <c r="E63" s="350">
        <f>Adatbevitel!C36</f>
        <v>0</v>
      </c>
      <c r="F63" s="305">
        <f>Adatbevitel!D36</f>
        <v>0</v>
      </c>
      <c r="G63" s="306">
        <f>Adatbevitel!E36</f>
        <v>0</v>
      </c>
    </row>
    <row r="64" spans="1:9" ht="17.100000000000001" customHeight="1">
      <c r="A64" s="322" t="s">
        <v>382</v>
      </c>
      <c r="B64" s="466" t="str">
        <f>CHOOSE(Beszámoló!$F$2,Nyelv!B36,Nyelv!C36,Nyelv!D36,Nyelv!E36)</f>
        <v>5. Áruk</v>
      </c>
      <c r="C64" s="466"/>
      <c r="D64" s="466"/>
      <c r="E64" s="350">
        <f>Adatbevitel!C37</f>
        <v>23362801</v>
      </c>
      <c r="F64" s="305">
        <f>Adatbevitel!D37</f>
        <v>0</v>
      </c>
      <c r="G64" s="306">
        <f>Adatbevitel!E37</f>
        <v>17826354</v>
      </c>
    </row>
    <row r="65" spans="1:12" ht="17.100000000000001" customHeight="1">
      <c r="A65" s="289" t="s">
        <v>383</v>
      </c>
      <c r="B65" s="466" t="str">
        <f>CHOOSE(Beszámoló!$F$2,Nyelv!B37,Nyelv!C37,Nyelv!D37,Nyelv!E37)</f>
        <v>6. Készletekre adott előlegek</v>
      </c>
      <c r="C65" s="466"/>
      <c r="D65" s="466"/>
      <c r="E65" s="350">
        <f>Adatbevitel!C38</f>
        <v>361183</v>
      </c>
      <c r="F65" s="305">
        <f>Adatbevitel!D38</f>
        <v>0</v>
      </c>
      <c r="G65" s="306">
        <f>Adatbevitel!E38</f>
        <v>0</v>
      </c>
    </row>
    <row r="66" spans="1:12" ht="17.100000000000001" customHeight="1">
      <c r="A66" s="322" t="s">
        <v>384</v>
      </c>
      <c r="B66" s="470" t="str">
        <f>CHOOSE(Beszámoló!$F$2,Nyelv!B38,Nyelv!C38,Nyelv!D38,Nyelv!E38)</f>
        <v>II. KÖVETELÉSEK (38.-45.sorok)</v>
      </c>
      <c r="C66" s="470"/>
      <c r="D66" s="470"/>
      <c r="E66" s="347">
        <f>Adatbevitel!C39</f>
        <v>4167531</v>
      </c>
      <c r="F66" s="348">
        <f>Adatbevitel!D39</f>
        <v>0</v>
      </c>
      <c r="G66" s="349">
        <f>Adatbevitel!E39</f>
        <v>4999785</v>
      </c>
    </row>
    <row r="67" spans="1:12" ht="17.100000000000001" customHeight="1">
      <c r="A67" s="289" t="s">
        <v>385</v>
      </c>
      <c r="B67" s="466" t="str">
        <f>CHOOSE(Beszámoló!$F$2,Nyelv!B39,Nyelv!C39,Nyelv!D39,Nyelv!E39)</f>
        <v>1. Követelések áruszállításból és szolgáltatásból (vevők)</v>
      </c>
      <c r="C67" s="466"/>
      <c r="D67" s="466"/>
      <c r="E67" s="350">
        <f>Adatbevitel!C40</f>
        <v>2837363</v>
      </c>
      <c r="F67" s="305">
        <f>Adatbevitel!D40</f>
        <v>0</v>
      </c>
      <c r="G67" s="306">
        <f>Adatbevitel!E40</f>
        <v>3004226</v>
      </c>
      <c r="I67" s="359"/>
    </row>
    <row r="68" spans="1:12" ht="17.100000000000001" customHeight="1">
      <c r="A68" s="322" t="s">
        <v>386</v>
      </c>
      <c r="B68" s="466" t="str">
        <f>CHOOSE(Beszámoló!$F$2,Nyelv!B40,Nyelv!C40,Nyelv!D40,Nyelv!E40)</f>
        <v>2. Követelések kapcsolt vállalkozással szemben</v>
      </c>
      <c r="C68" s="466"/>
      <c r="D68" s="466"/>
      <c r="E68" s="350">
        <f>Adatbevitel!C41</f>
        <v>11066</v>
      </c>
      <c r="F68" s="305">
        <f>Adatbevitel!D41</f>
        <v>0</v>
      </c>
      <c r="G68" s="306">
        <f>Adatbevitel!E41</f>
        <v>0</v>
      </c>
    </row>
    <row r="69" spans="1:12" ht="22.5" customHeight="1">
      <c r="A69" s="289" t="s">
        <v>387</v>
      </c>
      <c r="B69" s="473" t="str">
        <f>CHOOSE(Beszámoló!$F$2,Nyelv!B41,Nyelv!C41,Nyelv!D41,Nyelv!E41)</f>
        <v>3. Követelések jelentős tulajdoni részesedési viszonyban lévő vállalkozással szemben</v>
      </c>
      <c r="C69" s="473"/>
      <c r="D69" s="473"/>
      <c r="E69" s="350">
        <f>Adatbevitel!C42</f>
        <v>0</v>
      </c>
      <c r="F69" s="305">
        <f>Adatbevitel!D42</f>
        <v>0</v>
      </c>
      <c r="G69" s="306">
        <f>Adatbevitel!E42</f>
        <v>0</v>
      </c>
      <c r="I69" s="359"/>
    </row>
    <row r="70" spans="1:12" ht="17.100000000000001" customHeight="1">
      <c r="A70" s="322" t="s">
        <v>388</v>
      </c>
      <c r="B70" s="473" t="str">
        <f>CHOOSE(Beszámoló!$F$2,Nyelv!B42,Nyelv!C42,Nyelv!D42,Nyelv!E42)</f>
        <v>4. Követelések egyéb részesedési viszonyban lévő vállalkozással szemben</v>
      </c>
      <c r="C70" s="473"/>
      <c r="D70" s="473"/>
      <c r="E70" s="350">
        <f>Adatbevitel!C43</f>
        <v>0</v>
      </c>
      <c r="F70" s="305">
        <f>Adatbevitel!D43</f>
        <v>0</v>
      </c>
      <c r="G70" s="306">
        <f>Adatbevitel!E43</f>
        <v>0</v>
      </c>
    </row>
    <row r="71" spans="1:12" ht="17.100000000000001" customHeight="1">
      <c r="A71" s="289" t="s">
        <v>389</v>
      </c>
      <c r="B71" s="466" t="str">
        <f>CHOOSE(Beszámoló!$F$2,Nyelv!B43,Nyelv!C43,Nyelv!D43,Nyelv!E43)</f>
        <v>5. Váltókövetelések</v>
      </c>
      <c r="C71" s="466"/>
      <c r="D71" s="466"/>
      <c r="E71" s="350">
        <f>Adatbevitel!C44</f>
        <v>0</v>
      </c>
      <c r="F71" s="305">
        <f>Adatbevitel!D44</f>
        <v>0</v>
      </c>
      <c r="G71" s="306">
        <f>Adatbevitel!E44</f>
        <v>0</v>
      </c>
      <c r="L71" s="443"/>
    </row>
    <row r="72" spans="1:12" ht="17.100000000000001" customHeight="1">
      <c r="A72" s="322" t="s">
        <v>390</v>
      </c>
      <c r="B72" s="466" t="str">
        <f>CHOOSE(Beszámoló!$F$2,Nyelv!B44,Nyelv!C44,Nyelv!D44,Nyelv!E44)</f>
        <v>6. Egyéb követelések</v>
      </c>
      <c r="C72" s="466"/>
      <c r="D72" s="466"/>
      <c r="E72" s="350">
        <f>Adatbevitel!C45</f>
        <v>1319102</v>
      </c>
      <c r="F72" s="305">
        <f>Adatbevitel!D45</f>
        <v>0</v>
      </c>
      <c r="G72" s="306">
        <f>Adatbevitel!E45</f>
        <v>1995559</v>
      </c>
      <c r="L72" s="443"/>
    </row>
    <row r="73" spans="1:12" ht="17.100000000000001" customHeight="1">
      <c r="A73" s="289" t="s">
        <v>391</v>
      </c>
      <c r="B73" s="466" t="str">
        <f>CHOOSE(Beszámoló!$F$2,Nyelv!B45,Nyelv!C45,Nyelv!D45,Nyelv!E45)</f>
        <v>7. Követelések értékelési különbözete</v>
      </c>
      <c r="C73" s="466"/>
      <c r="D73" s="466"/>
      <c r="E73" s="350">
        <f>Adatbevitel!C46</f>
        <v>0</v>
      </c>
      <c r="F73" s="305">
        <f>Adatbevitel!D46</f>
        <v>0</v>
      </c>
      <c r="G73" s="306">
        <f>Adatbevitel!E46</f>
        <v>0</v>
      </c>
      <c r="L73" s="443"/>
    </row>
    <row r="74" spans="1:12" ht="17.100000000000001" customHeight="1">
      <c r="A74" s="322" t="s">
        <v>392</v>
      </c>
      <c r="B74" s="466" t="str">
        <f>CHOOSE(Beszámoló!$F$2,Nyelv!B46,Nyelv!C46,Nyelv!D46,Nyelv!E46)</f>
        <v>8. Származékos ügyletek pozitív értékelési különbözete</v>
      </c>
      <c r="C74" s="466"/>
      <c r="D74" s="466"/>
      <c r="E74" s="350">
        <f>Adatbevitel!C47</f>
        <v>0</v>
      </c>
      <c r="F74" s="305">
        <f>Adatbevitel!D47</f>
        <v>0</v>
      </c>
      <c r="G74" s="306">
        <f>Adatbevitel!E47</f>
        <v>0</v>
      </c>
      <c r="L74" s="443"/>
    </row>
    <row r="75" spans="1:12" ht="17.100000000000001" customHeight="1">
      <c r="A75" s="289" t="s">
        <v>393</v>
      </c>
      <c r="B75" s="470" t="str">
        <f>CHOOSE(Beszámoló!$F$2,Nyelv!B47,Nyelv!C47,Nyelv!D47,Nyelv!E47)</f>
        <v>III. ÉRTÉKPAPÍROK (47.-52. sorok)</v>
      </c>
      <c r="C75" s="470"/>
      <c r="D75" s="470"/>
      <c r="E75" s="347">
        <f>Adatbevitel!C48</f>
        <v>929831</v>
      </c>
      <c r="F75" s="348">
        <f>Adatbevitel!D48</f>
        <v>0</v>
      </c>
      <c r="G75" s="349">
        <f>Adatbevitel!E48</f>
        <v>0</v>
      </c>
      <c r="L75" s="443"/>
    </row>
    <row r="76" spans="1:12" ht="17.100000000000001" customHeight="1">
      <c r="A76" s="322" t="s">
        <v>394</v>
      </c>
      <c r="B76" s="466" t="str">
        <f>CHOOSE(Beszámoló!$F$2,Nyelv!B48,Nyelv!C48,Nyelv!D48,Nyelv!E48)</f>
        <v>1. Részesedés kapcsolt vállalkozásban</v>
      </c>
      <c r="C76" s="466"/>
      <c r="D76" s="466"/>
      <c r="E76" s="350">
        <f>Adatbevitel!C49</f>
        <v>929111</v>
      </c>
      <c r="F76" s="305">
        <f>Adatbevitel!D49</f>
        <v>0</v>
      </c>
      <c r="G76" s="306">
        <f>Adatbevitel!E49</f>
        <v>0</v>
      </c>
      <c r="L76" s="443"/>
    </row>
    <row r="77" spans="1:12" ht="17.100000000000001" customHeight="1">
      <c r="A77" s="289" t="s">
        <v>395</v>
      </c>
      <c r="B77" s="466" t="str">
        <f>CHOOSE(Beszámoló!$F$2,Nyelv!B49,Nyelv!C49,Nyelv!D49,Nyelv!E49)</f>
        <v>2. Jelentős tulajdoni részesedés</v>
      </c>
      <c r="C77" s="466"/>
      <c r="D77" s="466"/>
      <c r="E77" s="350">
        <f>Adatbevitel!C50</f>
        <v>720</v>
      </c>
      <c r="F77" s="305">
        <f>Adatbevitel!D50</f>
        <v>0</v>
      </c>
      <c r="G77" s="306">
        <f>Adatbevitel!E50</f>
        <v>0</v>
      </c>
      <c r="L77" s="443"/>
    </row>
    <row r="78" spans="1:12" ht="17.100000000000001" customHeight="1">
      <c r="A78" s="322" t="s">
        <v>396</v>
      </c>
      <c r="B78" s="466" t="str">
        <f>CHOOSE(Beszámoló!$F$2,Nyelv!B50,Nyelv!C50,Nyelv!D50,Nyelv!E50)</f>
        <v>3. Egyéb részesedés</v>
      </c>
      <c r="C78" s="466"/>
      <c r="D78" s="466"/>
      <c r="E78" s="350">
        <f>Adatbevitel!C51</f>
        <v>0</v>
      </c>
      <c r="F78" s="305">
        <f>Adatbevitel!D51</f>
        <v>0</v>
      </c>
      <c r="G78" s="306">
        <f>Adatbevitel!E51</f>
        <v>0</v>
      </c>
      <c r="L78" s="443"/>
    </row>
    <row r="79" spans="1:12" ht="17.100000000000001" customHeight="1">
      <c r="A79" s="289" t="s">
        <v>397</v>
      </c>
      <c r="B79" s="466" t="str">
        <f>CHOOSE(Beszámoló!$F$2,Nyelv!B51,Nyelv!C51,Nyelv!D51,Nyelv!E51)</f>
        <v>4. Saját részvények, saját üzletrészek</v>
      </c>
      <c r="C79" s="466"/>
      <c r="D79" s="466"/>
      <c r="E79" s="350">
        <f>Adatbevitel!C52</f>
        <v>0</v>
      </c>
      <c r="F79" s="305">
        <f>Adatbevitel!D52</f>
        <v>0</v>
      </c>
      <c r="G79" s="306">
        <f>Adatbevitel!E52</f>
        <v>0</v>
      </c>
      <c r="L79" s="443"/>
    </row>
    <row r="80" spans="1:12" ht="17.100000000000001" customHeight="1">
      <c r="A80" s="322" t="s">
        <v>398</v>
      </c>
      <c r="B80" s="466" t="str">
        <f>CHOOSE(Beszámoló!$F$2,Nyelv!B52,Nyelv!C52,Nyelv!D52,Nyelv!E52)</f>
        <v>5. Forgatási célú hitelviszonyt megtestesítő értékpapírok</v>
      </c>
      <c r="C80" s="466"/>
      <c r="D80" s="466"/>
      <c r="E80" s="350">
        <f>Adatbevitel!C53</f>
        <v>0</v>
      </c>
      <c r="F80" s="305">
        <f>Adatbevitel!D53</f>
        <v>0</v>
      </c>
      <c r="G80" s="306">
        <f>Adatbevitel!E53</f>
        <v>0</v>
      </c>
      <c r="L80" s="443"/>
    </row>
    <row r="81" spans="1:12" ht="17.100000000000001" customHeight="1">
      <c r="A81" s="289" t="s">
        <v>399</v>
      </c>
      <c r="B81" s="466" t="str">
        <f>CHOOSE(Beszámoló!$F$2,Nyelv!B53,Nyelv!C53,Nyelv!D53,Nyelv!E53)</f>
        <v>6. Értékpapírok értékelési különbözete</v>
      </c>
      <c r="C81" s="466"/>
      <c r="D81" s="466"/>
      <c r="E81" s="351">
        <f>Adatbevitel!C54</f>
        <v>0</v>
      </c>
      <c r="F81" s="352">
        <f>Adatbevitel!D54</f>
        <v>0</v>
      </c>
      <c r="G81" s="353">
        <f>Adatbevitel!E54</f>
        <v>0</v>
      </c>
      <c r="L81" s="443"/>
    </row>
    <row r="82" spans="1:12" ht="17.100000000000001" customHeight="1">
      <c r="A82" s="322" t="s">
        <v>400</v>
      </c>
      <c r="B82" s="470" t="str">
        <f>CHOOSE(Beszámoló!$F$2,Nyelv!B54,Nyelv!C54,Nyelv!D54,Nyelv!E54)</f>
        <v>IV. PÉNZESZKÖZÖK (54.-55.sorok)</v>
      </c>
      <c r="C82" s="470"/>
      <c r="D82" s="470"/>
      <c r="E82" s="291">
        <f>Adatbevitel!C55</f>
        <v>2210361</v>
      </c>
      <c r="F82" s="291">
        <f>Adatbevitel!D55</f>
        <v>0</v>
      </c>
      <c r="G82" s="292">
        <f>Adatbevitel!E55</f>
        <v>10057789</v>
      </c>
      <c r="L82" s="443"/>
    </row>
    <row r="83" spans="1:12" ht="17.100000000000001" customHeight="1">
      <c r="A83" s="289" t="s">
        <v>401</v>
      </c>
      <c r="B83" s="466" t="str">
        <f>CHOOSE(Beszámoló!$F$2,Nyelv!B55,Nyelv!C55,Nyelv!D55,Nyelv!E55)</f>
        <v>1. Pénztár, csekkek</v>
      </c>
      <c r="C83" s="466"/>
      <c r="D83" s="466"/>
      <c r="E83" s="305">
        <f>Adatbevitel!C56</f>
        <v>216538</v>
      </c>
      <c r="F83" s="305">
        <f>Adatbevitel!D56</f>
        <v>0</v>
      </c>
      <c r="G83" s="306">
        <f>Adatbevitel!E56</f>
        <v>127656</v>
      </c>
      <c r="L83" s="443"/>
    </row>
    <row r="84" spans="1:12" ht="17.100000000000001" customHeight="1">
      <c r="A84" s="322" t="s">
        <v>402</v>
      </c>
      <c r="B84" s="466" t="str">
        <f>CHOOSE(Beszámoló!$F$2,Nyelv!B56,Nyelv!C56,Nyelv!D56,Nyelv!E56)</f>
        <v>2. Bankbetétek</v>
      </c>
      <c r="C84" s="466"/>
      <c r="D84" s="466"/>
      <c r="E84" s="350">
        <f>Adatbevitel!C57</f>
        <v>1993823</v>
      </c>
      <c r="F84" s="305">
        <f>Adatbevitel!D57</f>
        <v>0</v>
      </c>
      <c r="G84" s="306">
        <f>Adatbevitel!E57</f>
        <v>9930133</v>
      </c>
      <c r="L84" s="443"/>
    </row>
    <row r="85" spans="1:12" ht="17.100000000000001" customHeight="1">
      <c r="A85" s="289" t="s">
        <v>403</v>
      </c>
      <c r="B85" s="470" t="str">
        <f>CHOOSE(Beszámoló!$F$2,Nyelv!B57,Nyelv!C57,Nyelv!D57,Nyelv!E57)</f>
        <v>C. Aktív időbeli elhatárolások (57.-59.sorok)</v>
      </c>
      <c r="C85" s="470"/>
      <c r="D85" s="470"/>
      <c r="E85" s="291">
        <f>Adatbevitel!C58</f>
        <v>463132</v>
      </c>
      <c r="F85" s="291">
        <f>Adatbevitel!D58</f>
        <v>0</v>
      </c>
      <c r="G85" s="292">
        <f>Adatbevitel!E58</f>
        <v>2232416</v>
      </c>
      <c r="L85" s="443"/>
    </row>
    <row r="86" spans="1:12" ht="17.100000000000001" customHeight="1">
      <c r="A86" s="289" t="s">
        <v>404</v>
      </c>
      <c r="B86" s="466" t="str">
        <f>CHOOSE(Beszámoló!$F$2,Nyelv!B58,Nyelv!C58,Nyelv!D58,Nyelv!E58)</f>
        <v>1. Bevételek aktív időbeli elhatárolása</v>
      </c>
      <c r="C86" s="466"/>
      <c r="D86" s="466"/>
      <c r="E86" s="354">
        <f>Adatbevitel!C59</f>
        <v>253692</v>
      </c>
      <c r="F86" s="308">
        <f>Adatbevitel!D59</f>
        <v>0</v>
      </c>
      <c r="G86" s="309">
        <f>Adatbevitel!E59</f>
        <v>2127492</v>
      </c>
      <c r="L86" s="443"/>
    </row>
    <row r="87" spans="1:12" ht="17.100000000000001" customHeight="1">
      <c r="A87" s="289" t="s">
        <v>405</v>
      </c>
      <c r="B87" s="466" t="str">
        <f>CHOOSE(Beszámoló!$F$2,Nyelv!B59,Nyelv!C59,Nyelv!D59,Nyelv!E59)</f>
        <v>2. Költségek, ráfordítások aktív időbeli elhatárolása</v>
      </c>
      <c r="C87" s="466"/>
      <c r="D87" s="466"/>
      <c r="E87" s="354">
        <f>Adatbevitel!C60</f>
        <v>209440</v>
      </c>
      <c r="F87" s="308">
        <f>Adatbevitel!D60</f>
        <v>0</v>
      </c>
      <c r="G87" s="309">
        <f>Adatbevitel!E60</f>
        <v>104924</v>
      </c>
    </row>
    <row r="88" spans="1:12" ht="17.100000000000001" customHeight="1">
      <c r="A88" s="322" t="s">
        <v>406</v>
      </c>
      <c r="B88" s="475" t="str">
        <f>CHOOSE(Beszámoló!$F$2,Nyelv!B60,Nyelv!C60,Nyelv!D60,Nyelv!E60)</f>
        <v>3. Halasztott ráfordítások</v>
      </c>
      <c r="C88" s="475"/>
      <c r="D88" s="475"/>
      <c r="E88" s="351">
        <f>Adatbevitel!C61</f>
        <v>0</v>
      </c>
      <c r="F88" s="352">
        <f>Adatbevitel!D61</f>
        <v>0</v>
      </c>
      <c r="G88" s="353">
        <f>Adatbevitel!E61</f>
        <v>0</v>
      </c>
    </row>
    <row r="89" spans="1:12" ht="17.100000000000001" customHeight="1">
      <c r="A89" s="355" t="s">
        <v>407</v>
      </c>
      <c r="B89" s="476" t="str">
        <f>CHOOSE(Beszámoló!$F$2,Nyelv!B61,Nyelv!C61,Nyelv!D61,Nyelv!E61)</f>
        <v>ESZKÖZÖK összesen  (1.+29.+56)</v>
      </c>
      <c r="C89" s="476"/>
      <c r="D89" s="476"/>
      <c r="E89" s="356">
        <f>Adatbevitel!C62</f>
        <v>37684727</v>
      </c>
      <c r="F89" s="294">
        <f>Adatbevitel!D62</f>
        <v>0</v>
      </c>
      <c r="G89" s="295">
        <f>Adatbevitel!E62</f>
        <v>41578526</v>
      </c>
    </row>
    <row r="90" spans="1:12" ht="13.5" customHeight="1"/>
    <row r="91" spans="1:12" ht="12.75" customHeight="1">
      <c r="A91" s="279" t="str">
        <f xml:space="preserve"> Alapadatok!E12</f>
        <v>Veszprém, 2023. január 30</v>
      </c>
      <c r="B91" s="317"/>
      <c r="C91" s="277"/>
      <c r="D91" s="277"/>
      <c r="E91" s="318"/>
      <c r="F91" s="277"/>
      <c r="G91" s="277"/>
    </row>
    <row r="92" spans="1:12" ht="12.75" customHeight="1">
      <c r="A92" s="277"/>
      <c r="B92" s="277"/>
      <c r="C92" s="277"/>
      <c r="D92" s="277"/>
      <c r="E92" s="471" t="str">
        <f>IF(Beszámoló!$F$2=1,Nyelv_old!$E$7,IF(Beszámoló!$F$2=2,Nyelv_old!$F$7,IF(Beszámoló!$F$2=3,Nyelv_old!$G$7,Nyelv_old!$H$7)))</f>
        <v>a vállalkozás vezetője</v>
      </c>
      <c r="F92" s="471"/>
      <c r="G92" s="471"/>
    </row>
    <row r="93" spans="1:12" ht="12.75" customHeight="1">
      <c r="A93" s="277"/>
      <c r="B93" s="277"/>
      <c r="C93" s="277"/>
      <c r="D93" s="277"/>
      <c r="E93" s="472" t="str">
        <f>IF(Beszámoló!$F$2=1,Nyelv_old!$E$8,IF(Beszámoló!$F$2=2,Nyelv_old!$F$8,IF(Beszámoló!$F$2=3,Nyelv_old!$G$8,Nyelv_old!$H$8)))</f>
        <v>(képviselője)</v>
      </c>
      <c r="F93" s="472"/>
      <c r="G93" s="472"/>
    </row>
    <row r="94" spans="1:12" ht="12.75" customHeight="1">
      <c r="A94" s="463"/>
      <c r="B94" s="463"/>
      <c r="C94" s="278"/>
      <c r="D94" s="464"/>
      <c r="E94" s="464"/>
      <c r="F94" s="464"/>
      <c r="G94" s="464"/>
      <c r="I94" s="296"/>
    </row>
    <row r="95" spans="1:12" ht="12.75" customHeight="1">
      <c r="A95" s="463"/>
      <c r="B95" s="463"/>
      <c r="C95" s="282"/>
      <c r="D95" s="464"/>
      <c r="E95" s="464"/>
      <c r="F95" s="464"/>
      <c r="G95" s="464"/>
      <c r="I95" s="287"/>
    </row>
    <row r="96" spans="1:12" ht="12.75" customHeight="1">
      <c r="A96" s="277"/>
    </row>
    <row r="97" spans="1:14" ht="12.75" customHeight="1">
      <c r="A97" s="463" t="str">
        <f>Alapadatok!$E$9</f>
        <v>VÖRÖSKŐ KFT.</v>
      </c>
      <c r="B97" s="463"/>
      <c r="C97" s="276"/>
      <c r="D97" s="276"/>
      <c r="F97" s="465"/>
      <c r="G97" s="465"/>
    </row>
    <row r="98" spans="1:14" ht="12.75" customHeight="1">
      <c r="A98" s="276"/>
      <c r="B98" s="276"/>
      <c r="C98" s="276"/>
      <c r="D98" s="276"/>
      <c r="G98" s="284"/>
    </row>
    <row r="99" spans="1:14" ht="15" customHeight="1">
      <c r="A99" s="461" t="str">
        <f>IF(Beszámoló!$F$2=1,Nyelv_old!$E$14,IF(Beszámoló!$F$2=2,Nyelv_old!$F$14,IF(Beszámoló!$F$2=3,Nyelv_old!$G$14,Nyelv_old!$H$14)))</f>
        <v>"A" Mérleg</v>
      </c>
      <c r="B99" s="461"/>
      <c r="C99" s="461"/>
      <c r="D99" s="461"/>
      <c r="E99" s="461"/>
      <c r="F99" s="461"/>
      <c r="G99" s="461"/>
    </row>
    <row r="100" spans="1:14" ht="15" customHeight="1">
      <c r="A100" s="461"/>
      <c r="B100" s="461"/>
      <c r="C100" s="461"/>
      <c r="D100" s="461"/>
      <c r="E100" s="461"/>
      <c r="F100" s="461"/>
      <c r="G100" s="461"/>
    </row>
    <row r="101" spans="1:14" ht="15" customHeight="1">
      <c r="A101" s="462" t="s">
        <v>408</v>
      </c>
      <c r="B101" s="462"/>
      <c r="C101" s="462"/>
      <c r="D101" s="462"/>
      <c r="E101" s="462"/>
      <c r="F101" s="462"/>
      <c r="G101" s="462"/>
    </row>
    <row r="102" spans="1:14" ht="12.75" customHeight="1">
      <c r="A102" s="463" t="str">
        <f>IF(Beszámoló!$F$2=1,Nyelv_old!$E$22,IF(Beszámoló!$F$2=2,Nyelv_old!$F$22,IF(Beszámoló!$F$2=3,Nyelv_old!$G$22,Nyelv_old!$H$22)))</f>
        <v>Források (passzívák)</v>
      </c>
      <c r="B102" s="463"/>
      <c r="C102" s="275"/>
      <c r="D102" s="275"/>
      <c r="E102" s="275"/>
      <c r="F102" s="275"/>
      <c r="G102" s="275"/>
    </row>
    <row r="103" spans="1:14" ht="12.75" customHeight="1">
      <c r="A103" s="279"/>
      <c r="B103" s="280"/>
      <c r="C103" s="279"/>
      <c r="D103" s="279"/>
      <c r="E103" s="279"/>
      <c r="F103" s="478" t="str">
        <f>IF(Beszámoló!$F$2=1,Nyelv_old!$E$16,IF(Beszámoló!$F$2=2,Nyelv_old!$F$16,IF(Beszámoló!$F$2=3,Nyelv_old!$G$16,Nyelv_old!$H$16)))</f>
        <v>adatok E Ft-ban</v>
      </c>
      <c r="G103" s="478"/>
    </row>
    <row r="104" spans="1:14" ht="36.75" customHeight="1">
      <c r="A104" s="288" t="str">
        <f>IF(Beszámoló!$F$2=1,Nyelv_old!$E$17,IF(Beszámoló!$F$2=2,Nyelv_old!$F$17,IF(Beszámoló!$F$2=3,Nyelv_old!$G$17,Nyelv_old!$H$17)))</f>
        <v>Sorszám</v>
      </c>
      <c r="B104" s="468" t="str">
        <f>IF(Beszámoló!$F$2=1,Nyelv_old!$E$18,IF(Beszámoló!$F$2=2,Nyelv_old!$F$18,IF(Beszámoló!$F$2=3,Nyelv_old!$G$18,Nyelv_old!$H$18)))</f>
        <v>A tétel megnevezése</v>
      </c>
      <c r="C104" s="468"/>
      <c r="D104" s="468"/>
      <c r="E104" s="447">
        <v>44742</v>
      </c>
      <c r="F104" s="449" t="s">
        <v>1123</v>
      </c>
      <c r="G104" s="448">
        <v>44926</v>
      </c>
    </row>
    <row r="105" spans="1:14" ht="12" customHeight="1">
      <c r="A105" s="298" t="s">
        <v>345</v>
      </c>
      <c r="B105" s="469" t="s">
        <v>346</v>
      </c>
      <c r="C105" s="469"/>
      <c r="D105" s="469"/>
      <c r="E105" s="331" t="s">
        <v>347</v>
      </c>
      <c r="F105" s="299" t="s">
        <v>348</v>
      </c>
      <c r="G105" s="300" t="s">
        <v>349</v>
      </c>
    </row>
    <row r="106" spans="1:14" ht="18" customHeight="1">
      <c r="A106" s="345" t="s">
        <v>409</v>
      </c>
      <c r="B106" s="477" t="str">
        <f>CHOOSE(Beszámoló!$F$2,Nyelv!B62,Nyelv!C62,Nyelv!D62,Nyelv!E62)</f>
        <v>D. Saját tőke  (62.+64.+65.+66.+67+68+71.)</v>
      </c>
      <c r="C106" s="477"/>
      <c r="D106" s="477"/>
      <c r="E106" s="357">
        <f>Adatbevitel!C63</f>
        <v>8482451</v>
      </c>
      <c r="F106" s="357">
        <f>Adatbevitel!D63</f>
        <v>0</v>
      </c>
      <c r="G106" s="335">
        <f>Adatbevitel!E63</f>
        <v>9437392</v>
      </c>
    </row>
    <row r="107" spans="1:14" ht="18" customHeight="1">
      <c r="A107" s="289" t="s">
        <v>410</v>
      </c>
      <c r="B107" s="466" t="str">
        <f>CHOOSE(Beszámoló!$F$2,Nyelv!B63,Nyelv!C63,Nyelv!D63,Nyelv!E63)</f>
        <v>I. JEGYZETT TŐKE</v>
      </c>
      <c r="C107" s="466"/>
      <c r="D107" s="466"/>
      <c r="E107" s="358">
        <f>Adatbevitel!C64</f>
        <v>338661</v>
      </c>
      <c r="F107" s="358">
        <f>Adatbevitel!D64</f>
        <v>0</v>
      </c>
      <c r="G107" s="290">
        <f>Adatbevitel!E64</f>
        <v>338661</v>
      </c>
      <c r="L107" s="443"/>
    </row>
    <row r="108" spans="1:14" ht="18" customHeight="1">
      <c r="A108" s="322" t="s">
        <v>411</v>
      </c>
      <c r="B108" s="466" t="str">
        <f>CHOOSE(Beszámoló!$F$2,Nyelv!B64,Nyelv!C64,Nyelv!D64,Nyelv!E64)</f>
        <v>Ebből: visszavásárolt tulajdoni részesedés névértéken</v>
      </c>
      <c r="C108" s="466"/>
      <c r="D108" s="466"/>
      <c r="E108" s="358">
        <f>Adatbevitel!C65</f>
        <v>0</v>
      </c>
      <c r="F108" s="358">
        <f>Adatbevitel!D65</f>
        <v>0</v>
      </c>
      <c r="G108" s="290">
        <f>Adatbevitel!E65</f>
        <v>0</v>
      </c>
      <c r="L108" s="443"/>
    </row>
    <row r="109" spans="1:14" ht="18" customHeight="1">
      <c r="A109" s="289" t="s">
        <v>412</v>
      </c>
      <c r="B109" s="466" t="str">
        <f>CHOOSE(Beszámoló!$F$2,Nyelv!B65,Nyelv!C65,Nyelv!D65,Nyelv!E65)</f>
        <v>II. JEGYZETT DE MÉG BE NEM FIZETETT TŐKE (-)</v>
      </c>
      <c r="C109" s="466"/>
      <c r="D109" s="466"/>
      <c r="E109" s="358">
        <f>Adatbevitel!C66</f>
        <v>0</v>
      </c>
      <c r="F109" s="358">
        <f>Adatbevitel!D66</f>
        <v>0</v>
      </c>
      <c r="G109" s="290">
        <f>Adatbevitel!E66</f>
        <v>0</v>
      </c>
      <c r="J109"/>
      <c r="K109" s="377"/>
      <c r="L109" s="444"/>
      <c r="M109" s="377"/>
      <c r="N109" s="377"/>
    </row>
    <row r="110" spans="1:14" ht="18" customHeight="1">
      <c r="A110" s="322" t="s">
        <v>413</v>
      </c>
      <c r="B110" s="466" t="str">
        <f>CHOOSE(Beszámoló!$F$2,Nyelv!B66,Nyelv!C66,Nyelv!D66,Nyelv!E66)</f>
        <v>III. TŐKETARTALÉK</v>
      </c>
      <c r="C110" s="466"/>
      <c r="D110" s="466"/>
      <c r="E110" s="358">
        <f>Adatbevitel!C67</f>
        <v>0</v>
      </c>
      <c r="F110" s="358">
        <f>Adatbevitel!D67</f>
        <v>0</v>
      </c>
      <c r="G110" s="290">
        <f>Adatbevitel!E67</f>
        <v>0</v>
      </c>
      <c r="J110" s="378"/>
      <c r="K110" s="379"/>
      <c r="L110" s="444"/>
      <c r="M110" s="379"/>
      <c r="N110" s="379"/>
    </row>
    <row r="111" spans="1:14" ht="18" customHeight="1">
      <c r="A111" s="289" t="s">
        <v>414</v>
      </c>
      <c r="B111" s="466" t="str">
        <f>CHOOSE(Beszámoló!$F$2,Nyelv!B67,Nyelv!C67,Nyelv!D67,Nyelv!E67)</f>
        <v>IV. EREDMÉNYTARTALÉK</v>
      </c>
      <c r="C111" s="466"/>
      <c r="D111" s="466"/>
      <c r="E111" s="358">
        <f>Adatbevitel!C68</f>
        <v>6078693</v>
      </c>
      <c r="F111" s="358">
        <f>Adatbevitel!D68</f>
        <v>0</v>
      </c>
      <c r="G111" s="290">
        <f>Adatbevitel!E68</f>
        <v>7368564</v>
      </c>
      <c r="I111" s="359"/>
      <c r="J111"/>
      <c r="K111" s="377"/>
      <c r="L111" s="444"/>
      <c r="M111" s="377"/>
      <c r="N111" s="377"/>
    </row>
    <row r="112" spans="1:14" ht="18" customHeight="1">
      <c r="A112" s="322" t="s">
        <v>415</v>
      </c>
      <c r="B112" s="466" t="str">
        <f>CHOOSE(Beszámoló!$F$2,Nyelv!B68,Nyelv!C68,Nyelv!D68,Nyelv!E68)</f>
        <v>V. LEKÖTÖTT TARTALÉK</v>
      </c>
      <c r="C112" s="466"/>
      <c r="D112" s="466"/>
      <c r="E112" s="358">
        <f>Adatbevitel!C69</f>
        <v>36591</v>
      </c>
      <c r="F112" s="358">
        <f>Adatbevitel!D69</f>
        <v>0</v>
      </c>
      <c r="G112" s="290">
        <f>Adatbevitel!E69</f>
        <v>29226</v>
      </c>
      <c r="J112" s="378"/>
      <c r="K112" s="379"/>
      <c r="L112" s="444"/>
      <c r="M112" s="379"/>
      <c r="N112" s="379"/>
    </row>
    <row r="113" spans="1:12" ht="18" customHeight="1">
      <c r="A113" s="289" t="s">
        <v>416</v>
      </c>
      <c r="B113" s="466" t="str">
        <f>CHOOSE(Beszámoló!$F$2,Nyelv!B69,Nyelv!C69,Nyelv!D69,Nyelv!E69)</f>
        <v>VI. ÉRTÉKELÉSI TARTALÉK</v>
      </c>
      <c r="C113" s="466"/>
      <c r="D113" s="466"/>
      <c r="E113" s="358">
        <f>Adatbevitel!C70</f>
        <v>0</v>
      </c>
      <c r="F113" s="358">
        <f>Adatbevitel!D70</f>
        <v>0</v>
      </c>
      <c r="G113" s="290">
        <f>Adatbevitel!E70</f>
        <v>0</v>
      </c>
      <c r="L113" s="443"/>
    </row>
    <row r="114" spans="1:12" ht="18" customHeight="1">
      <c r="A114" s="322" t="s">
        <v>417</v>
      </c>
      <c r="B114" s="466" t="str">
        <f>CHOOSE(Beszámoló!$F$2,Nyelv!B70,Nyelv!C70,Nyelv!D70,Nyelv!E70)</f>
        <v>1. Értékhelyesbítés értékelési tartaléka</v>
      </c>
      <c r="C114" s="466"/>
      <c r="D114" s="466"/>
      <c r="E114" s="358">
        <f>Adatbevitel!C71</f>
        <v>0</v>
      </c>
      <c r="F114" s="358">
        <f>Adatbevitel!D71</f>
        <v>0</v>
      </c>
      <c r="G114" s="290">
        <f>Adatbevitel!E71</f>
        <v>0</v>
      </c>
      <c r="L114" s="443"/>
    </row>
    <row r="115" spans="1:12" ht="18" customHeight="1">
      <c r="A115" s="289" t="s">
        <v>418</v>
      </c>
      <c r="B115" s="466" t="str">
        <f>CHOOSE(Beszámoló!$F$2,Nyelv!B71,Nyelv!C71,Nyelv!D71,Nyelv!E71)</f>
        <v>2. Valós értékelés értékelési tartaléka</v>
      </c>
      <c r="C115" s="466"/>
      <c r="D115" s="466"/>
      <c r="E115" s="358">
        <f>Adatbevitel!C72</f>
        <v>0</v>
      </c>
      <c r="F115" s="358">
        <f>Adatbevitel!D72</f>
        <v>0</v>
      </c>
      <c r="G115" s="290">
        <f>Adatbevitel!E72</f>
        <v>0</v>
      </c>
      <c r="L115" s="443"/>
    </row>
    <row r="116" spans="1:12" ht="18" customHeight="1">
      <c r="A116" s="322" t="s">
        <v>419</v>
      </c>
      <c r="B116" s="466" t="str">
        <f>CHOOSE(Beszámoló!$F$2,Nyelv!B72,Nyelv!C72,Nyelv!D72,Nyelv!E72)</f>
        <v>VII. ADÓZOTT EREDMÉNY</v>
      </c>
      <c r="C116" s="466"/>
      <c r="D116" s="466"/>
      <c r="E116" s="358">
        <f>Adatbevitel!C73</f>
        <v>2028506</v>
      </c>
      <c r="F116" s="358">
        <f>Adatbevitel!D73</f>
        <v>0</v>
      </c>
      <c r="G116" s="290">
        <f>Adatbevitel!E73</f>
        <v>1700941</v>
      </c>
      <c r="L116" s="443"/>
    </row>
    <row r="117" spans="1:12" ht="18" customHeight="1">
      <c r="A117" s="289" t="s">
        <v>420</v>
      </c>
      <c r="B117" s="470" t="str">
        <f>CHOOSE(Beszámoló!$F$2,Nyelv!B73,Nyelv!C73,Nyelv!D73,Nyelv!E73)</f>
        <v>E. Céltartalékok  (73-75)</v>
      </c>
      <c r="C117" s="470"/>
      <c r="D117" s="470"/>
      <c r="E117" s="360">
        <f>Adatbevitel!C74</f>
        <v>760542</v>
      </c>
      <c r="F117" s="360">
        <f>Adatbevitel!D74</f>
        <v>0</v>
      </c>
      <c r="G117" s="292">
        <f>Adatbevitel!E74</f>
        <v>760542</v>
      </c>
      <c r="L117" s="443"/>
    </row>
    <row r="118" spans="1:12" ht="18" customHeight="1">
      <c r="A118" s="322" t="s">
        <v>421</v>
      </c>
      <c r="B118" s="466" t="str">
        <f>CHOOSE(Beszámoló!$F$2,Nyelv!B74,Nyelv!C74,Nyelv!D74,Nyelv!E74)</f>
        <v>1. Céltartalék a várható kötelezettségekre</v>
      </c>
      <c r="C118" s="466"/>
      <c r="D118" s="466"/>
      <c r="E118" s="344">
        <f>Adatbevitel!C75</f>
        <v>760542</v>
      </c>
      <c r="F118" s="344">
        <f>Adatbevitel!D75</f>
        <v>0</v>
      </c>
      <c r="G118" s="309">
        <f>Adatbevitel!E75</f>
        <v>760542</v>
      </c>
      <c r="L118" s="443"/>
    </row>
    <row r="119" spans="1:12" ht="18" customHeight="1">
      <c r="A119" s="289" t="s">
        <v>422</v>
      </c>
      <c r="B119" s="466" t="str">
        <f>CHOOSE(Beszámoló!$F$2,Nyelv!B75,Nyelv!C75,Nyelv!D75,Nyelv!E75)</f>
        <v>2. Céltartalék a jövőbeni költségekre</v>
      </c>
      <c r="C119" s="466"/>
      <c r="D119" s="466"/>
      <c r="E119" s="344">
        <f>Adatbevitel!C76</f>
        <v>0</v>
      </c>
      <c r="F119" s="344">
        <f>Adatbevitel!D76</f>
        <v>0</v>
      </c>
      <c r="G119" s="309">
        <f>Adatbevitel!E76</f>
        <v>0</v>
      </c>
      <c r="L119" s="443"/>
    </row>
    <row r="120" spans="1:12" ht="18" customHeight="1">
      <c r="A120" s="322" t="s">
        <v>423</v>
      </c>
      <c r="B120" s="466" t="str">
        <f>CHOOSE(Beszámoló!$F$2,Nyelv!B76,Nyelv!C76,Nyelv!D76,Nyelv!E76)</f>
        <v>3. Egyéb céltartalék</v>
      </c>
      <c r="C120" s="466"/>
      <c r="D120" s="466"/>
      <c r="E120" s="344">
        <f>Adatbevitel!C77</f>
        <v>0</v>
      </c>
      <c r="F120" s="344">
        <f>Adatbevitel!D77</f>
        <v>0</v>
      </c>
      <c r="G120" s="309">
        <f>Adatbevitel!E77</f>
        <v>0</v>
      </c>
      <c r="L120" s="443"/>
    </row>
    <row r="121" spans="1:12" ht="18" customHeight="1">
      <c r="A121" s="289" t="s">
        <v>424</v>
      </c>
      <c r="B121" s="470" t="str">
        <f>CHOOSE(Beszámoló!$F$2,Nyelv!B77,Nyelv!C77,Nyelv!D77,Nyelv!E77)</f>
        <v>F. Kötelezettségek  (77.+ 82.+ 92. sor)</v>
      </c>
      <c r="C121" s="470"/>
      <c r="D121" s="470"/>
      <c r="E121" s="360">
        <f>Adatbevitel!C78</f>
        <v>26969909</v>
      </c>
      <c r="F121" s="361">
        <f>Adatbevitel!D78</f>
        <v>0</v>
      </c>
      <c r="G121" s="292">
        <f>Adatbevitel!E78</f>
        <v>29435065</v>
      </c>
      <c r="L121" s="443"/>
    </row>
    <row r="122" spans="1:12" ht="18" customHeight="1">
      <c r="A122" s="322" t="s">
        <v>425</v>
      </c>
      <c r="B122" s="470" t="str">
        <f>CHOOSE(Beszámoló!$F$2,Nyelv!B78,Nyelv!C78,Nyelv!D78,Nyelv!E78)</f>
        <v>I. HÁTRASOROLT KÖTELEZETTSÉGEK (78.-81. sorok)</v>
      </c>
      <c r="C122" s="470"/>
      <c r="D122" s="470"/>
      <c r="E122" s="362">
        <f>Adatbevitel!C79</f>
        <v>0</v>
      </c>
      <c r="F122" s="362">
        <f>Adatbevitel!D79</f>
        <v>0</v>
      </c>
      <c r="G122" s="363">
        <f>Adatbevitel!E79</f>
        <v>0</v>
      </c>
      <c r="L122" s="443"/>
    </row>
    <row r="123" spans="1:12" ht="18" customHeight="1">
      <c r="A123" s="289" t="s">
        <v>426</v>
      </c>
      <c r="B123" s="466" t="str">
        <f>CHOOSE(Beszámoló!$F$2,Nyelv!B79,Nyelv!C79,Nyelv!D79,Nyelv!E79)</f>
        <v>1. Hátrasorolt kötelezettségek kapcsolt vállalkozással szemben</v>
      </c>
      <c r="C123" s="466"/>
      <c r="D123" s="466"/>
      <c r="E123" s="344">
        <f>Adatbevitel!C80</f>
        <v>0</v>
      </c>
      <c r="F123" s="344">
        <f>Adatbevitel!D80</f>
        <v>0</v>
      </c>
      <c r="G123" s="309">
        <f>Adatbevitel!E80</f>
        <v>0</v>
      </c>
      <c r="L123" s="443"/>
    </row>
    <row r="124" spans="1:12" ht="23.25" customHeight="1">
      <c r="A124" s="322" t="s">
        <v>427</v>
      </c>
      <c r="B124" s="473" t="str">
        <f>CHOOSE(Beszámoló!$F$2,Nyelv!B80,Nyelv!C80,Nyelv!D80,Nyelv!E80)</f>
        <v>2. Hátrasorolt kötelezettségek jelentős tulajdoni viszonyban lévő vállalkozással szemben</v>
      </c>
      <c r="C124" s="473"/>
      <c r="D124" s="473"/>
      <c r="E124" s="344">
        <f>Adatbevitel!C81</f>
        <v>0</v>
      </c>
      <c r="F124" s="344">
        <f>Adatbevitel!D81</f>
        <v>0</v>
      </c>
      <c r="G124" s="309">
        <f>Adatbevitel!E81</f>
        <v>0</v>
      </c>
      <c r="L124" s="443"/>
    </row>
    <row r="125" spans="1:12" ht="25.5" customHeight="1">
      <c r="A125" s="322" t="s">
        <v>428</v>
      </c>
      <c r="B125" s="479" t="str">
        <f>CHOOSE(Beszámoló!$F$2,Nyelv!B81,Nyelv!C81,Nyelv!D81,Nyelv!E81)</f>
        <v>3. Hátrasorolt kötelezettségek egyéb részesedési viszonyban lévő vállalkozással szemben</v>
      </c>
      <c r="C125" s="479"/>
      <c r="D125" s="479"/>
      <c r="E125" s="364">
        <f>Adatbevitel!C82</f>
        <v>0</v>
      </c>
      <c r="F125" s="364">
        <f>Adatbevitel!D82</f>
        <v>0</v>
      </c>
      <c r="G125" s="341">
        <f>Adatbevitel!E82</f>
        <v>0</v>
      </c>
      <c r="L125" s="443"/>
    </row>
    <row r="126" spans="1:12" ht="18" customHeight="1">
      <c r="A126" s="355" t="s">
        <v>429</v>
      </c>
      <c r="B126" s="480" t="str">
        <f>CHOOSE(Beszámoló!$F$2,Nyelv!B82,Nyelv!C82,Nyelv!D82,Nyelv!E82)</f>
        <v>4. Hátrasorolt kötelezettségek egyéb gazdálkodóval szemben</v>
      </c>
      <c r="C126" s="480"/>
      <c r="D126" s="480"/>
      <c r="E126" s="365">
        <f>Adatbevitel!C83</f>
        <v>0</v>
      </c>
      <c r="F126" s="365">
        <f>Adatbevitel!D83</f>
        <v>0</v>
      </c>
      <c r="G126" s="366">
        <f>Adatbevitel!E83</f>
        <v>0</v>
      </c>
      <c r="L126" s="443"/>
    </row>
    <row r="127" spans="1:12" ht="12.75" customHeight="1">
      <c r="A127" s="315"/>
      <c r="B127" s="367"/>
      <c r="C127" s="368"/>
      <c r="D127" s="368"/>
      <c r="E127" s="314"/>
      <c r="F127" s="314"/>
      <c r="G127" s="314"/>
      <c r="L127" s="443"/>
    </row>
    <row r="128" spans="1:12" ht="12.75" customHeight="1">
      <c r="A128" s="279" t="str">
        <f xml:space="preserve"> Alapadatok!E12</f>
        <v>Veszprém, 2023. január 30</v>
      </c>
      <c r="B128" s="317"/>
      <c r="C128" s="277"/>
      <c r="D128" s="277"/>
      <c r="E128" s="318"/>
      <c r="F128" s="277"/>
      <c r="G128" s="277"/>
      <c r="L128" s="443"/>
    </row>
    <row r="129" spans="1:12" ht="12.75" customHeight="1">
      <c r="A129" s="277"/>
      <c r="B129" s="277"/>
      <c r="C129" s="277"/>
      <c r="D129" s="277"/>
      <c r="E129" s="471" t="str">
        <f>IF(Beszámoló!$F$2=1,Nyelv_old!$E$7,IF(Beszámoló!$F$2=2,Nyelv_old!$F$7,IF(Beszámoló!$F$2=3,Nyelv_old!$G$7,Nyelv_old!$H$7)))</f>
        <v>a vállalkozás vezetője</v>
      </c>
      <c r="F129" s="471"/>
      <c r="G129" s="471"/>
      <c r="L129" s="443"/>
    </row>
    <row r="130" spans="1:12" ht="12.75" customHeight="1">
      <c r="A130" s="277"/>
      <c r="B130" s="277"/>
      <c r="C130" s="277"/>
      <c r="D130" s="277"/>
      <c r="E130" s="472" t="str">
        <f>IF(Beszámoló!$F$2=1,Nyelv_old!$E$8,IF(Beszámoló!$F$2=2,Nyelv_old!$F$8,IF(Beszámoló!$F$2=3,Nyelv_old!$G$8,Nyelv_old!$H$8)))</f>
        <v>(képviselője)</v>
      </c>
      <c r="F130" s="472"/>
      <c r="G130" s="472"/>
      <c r="L130" s="443"/>
    </row>
    <row r="131" spans="1:12" ht="12.75" customHeight="1">
      <c r="A131" s="463"/>
      <c r="B131" s="463"/>
      <c r="C131" s="278"/>
      <c r="D131" s="464"/>
      <c r="E131" s="464"/>
      <c r="F131" s="464"/>
      <c r="G131" s="464"/>
      <c r="I131" s="296"/>
    </row>
    <row r="132" spans="1:12" ht="12.75" customHeight="1">
      <c r="A132" s="463"/>
      <c r="B132" s="463"/>
      <c r="C132" s="282"/>
      <c r="D132" s="464"/>
      <c r="E132" s="464"/>
      <c r="F132" s="464"/>
      <c r="G132" s="464"/>
      <c r="I132" s="287"/>
    </row>
    <row r="133" spans="1:12" ht="12.75" customHeight="1">
      <c r="A133" s="277"/>
    </row>
    <row r="134" spans="1:12" ht="12.75" customHeight="1">
      <c r="A134" s="463" t="str">
        <f>Alapadatok!$E$9</f>
        <v>VÖRÖSKŐ KFT.</v>
      </c>
      <c r="B134" s="463"/>
      <c r="C134" s="276"/>
      <c r="D134" s="276"/>
      <c r="F134" s="465"/>
      <c r="G134" s="465"/>
    </row>
    <row r="135" spans="1:12" ht="12.75" customHeight="1">
      <c r="A135" s="276"/>
      <c r="B135" s="276"/>
      <c r="C135" s="276"/>
      <c r="D135" s="276"/>
      <c r="G135" s="284"/>
    </row>
    <row r="136" spans="1:12" ht="15" customHeight="1">
      <c r="A136" s="461" t="str">
        <f>IF(Beszámoló!$F$2=1,Nyelv_old!$E$14,IF(Beszámoló!$F$2=2,Nyelv_old!$F$14,IF(Beszámoló!$F$2=3,Nyelv_old!$G$14,Nyelv_old!$H$14)))</f>
        <v>"A" Mérleg</v>
      </c>
      <c r="B136" s="461"/>
      <c r="C136" s="461"/>
      <c r="D136" s="461"/>
      <c r="E136" s="461"/>
      <c r="F136" s="461"/>
      <c r="G136" s="461"/>
    </row>
    <row r="137" spans="1:12" ht="15" customHeight="1">
      <c r="A137" s="461"/>
      <c r="B137" s="461"/>
      <c r="C137" s="461"/>
      <c r="D137" s="461"/>
      <c r="E137" s="461"/>
      <c r="F137" s="461"/>
      <c r="G137" s="461"/>
    </row>
    <row r="138" spans="1:12" ht="15" customHeight="1">
      <c r="A138" s="462" t="s">
        <v>430</v>
      </c>
      <c r="B138" s="462"/>
      <c r="C138" s="462"/>
      <c r="D138" s="462"/>
      <c r="E138" s="462"/>
      <c r="F138" s="462"/>
      <c r="G138" s="462"/>
    </row>
    <row r="139" spans="1:12" ht="12.75" customHeight="1">
      <c r="A139" s="463" t="str">
        <f>IF(Beszámoló!$F$2=1,Nyelv_old!$E$22,IF(Beszámoló!$F$2=2,Nyelv_old!$F$22,IF(Beszámoló!$F$2=3,Nyelv_old!$G$22,Nyelv_old!$H$22)))</f>
        <v>Források (passzívák)</v>
      </c>
      <c r="B139" s="463"/>
      <c r="C139" s="275"/>
      <c r="D139" s="275"/>
      <c r="E139" s="275"/>
      <c r="F139" s="275"/>
      <c r="G139" s="275"/>
    </row>
    <row r="140" spans="1:12" ht="12.75" customHeight="1">
      <c r="A140" s="279"/>
      <c r="B140" s="280"/>
      <c r="C140" s="279"/>
      <c r="D140" s="279"/>
      <c r="E140" s="279"/>
      <c r="F140" s="478" t="str">
        <f>IF(Beszámoló!$F$2=1,Nyelv_old!$E$16,IF(Beszámoló!$F$2=2,Nyelv_old!$F$16,IF(Beszámoló!$F$2=3,Nyelv_old!$G$16,Nyelv_old!$H$16)))</f>
        <v>adatok E Ft-ban</v>
      </c>
      <c r="G140" s="478"/>
    </row>
    <row r="141" spans="1:12" ht="36.75" customHeight="1">
      <c r="A141" s="288" t="str">
        <f>IF(Beszámoló!$F$2=1,Nyelv_old!$E$17,IF(Beszámoló!$F$2=2,Nyelv_old!$F$17,IF(Beszámoló!$F$2=3,Nyelv_old!$G$17,Nyelv_old!$H$17)))</f>
        <v>Sorszám</v>
      </c>
      <c r="B141" s="468" t="str">
        <f>IF(Beszámoló!$F$2=1,Nyelv_old!$E$18,IF(Beszámoló!$F$2=2,Nyelv_old!$F$18,IF(Beszámoló!$F$2=3,Nyelv_old!$G$18,Nyelv_old!$H$18)))</f>
        <v>A tétel megnevezése</v>
      </c>
      <c r="C141" s="468"/>
      <c r="D141" s="468"/>
      <c r="E141" s="447">
        <v>44742</v>
      </c>
      <c r="F141" s="449" t="s">
        <v>1123</v>
      </c>
      <c r="G141" s="448">
        <v>44926</v>
      </c>
      <c r="L141" s="443"/>
    </row>
    <row r="142" spans="1:12" ht="12" customHeight="1">
      <c r="A142" s="298" t="s">
        <v>345</v>
      </c>
      <c r="B142" s="469" t="s">
        <v>346</v>
      </c>
      <c r="C142" s="469"/>
      <c r="D142" s="469"/>
      <c r="E142" s="331" t="s">
        <v>347</v>
      </c>
      <c r="F142" s="299" t="s">
        <v>348</v>
      </c>
      <c r="G142" s="300" t="s">
        <v>349</v>
      </c>
      <c r="L142" s="443"/>
    </row>
    <row r="143" spans="1:12" ht="17.100000000000001" customHeight="1">
      <c r="A143" s="345" t="s">
        <v>431</v>
      </c>
      <c r="B143" s="477" t="str">
        <f>CHOOSE(Beszámoló!$F$2,Nyelv!B83,Nyelv!C83,Nyelv!D83,Nyelv!E83)</f>
        <v>II. HOSSZÚ LEJÁRATÚ KÖTELEZETTSÉGEK  (83.-91. sorok)</v>
      </c>
      <c r="C143" s="477"/>
      <c r="D143" s="477"/>
      <c r="E143" s="362">
        <f>Adatbevitel!C84</f>
        <v>7138632</v>
      </c>
      <c r="F143" s="362">
        <f>Adatbevitel!D84</f>
        <v>0</v>
      </c>
      <c r="G143" s="363">
        <f>Adatbevitel!E84</f>
        <v>7177807</v>
      </c>
      <c r="L143" s="443"/>
    </row>
    <row r="144" spans="1:12" s="276" customFormat="1" ht="17.100000000000001" customHeight="1">
      <c r="A144" s="289" t="s">
        <v>432</v>
      </c>
      <c r="B144" s="466" t="str">
        <f>CHOOSE(Beszámoló!$F$2,Nyelv!B84,Nyelv!C84,Nyelv!D84,Nyelv!E84)</f>
        <v>1. Hosszú lejáratra kapott kölcsönök</v>
      </c>
      <c r="C144" s="466"/>
      <c r="D144" s="466"/>
      <c r="E144" s="344">
        <f>Adatbevitel!C85</f>
        <v>0</v>
      </c>
      <c r="F144" s="344">
        <f>Adatbevitel!D85</f>
        <v>0</v>
      </c>
      <c r="G144" s="309">
        <f>Adatbevitel!E85</f>
        <v>0</v>
      </c>
      <c r="L144" s="443"/>
    </row>
    <row r="145" spans="1:12" ht="17.100000000000001" customHeight="1">
      <c r="A145" s="322" t="s">
        <v>433</v>
      </c>
      <c r="B145" s="466" t="str">
        <f>CHOOSE(Beszámoló!$F$2,Nyelv!B85,Nyelv!C85,Nyelv!D85,Nyelv!E85)</f>
        <v>2. Átváltoztatható és átváltozó kötvények</v>
      </c>
      <c r="C145" s="466"/>
      <c r="D145" s="466"/>
      <c r="E145" s="344">
        <f>Adatbevitel!C86</f>
        <v>0</v>
      </c>
      <c r="F145" s="344">
        <f>Adatbevitel!D86</f>
        <v>0</v>
      </c>
      <c r="G145" s="309">
        <f>Adatbevitel!E86</f>
        <v>0</v>
      </c>
      <c r="L145" s="443"/>
    </row>
    <row r="146" spans="1:12" ht="17.100000000000001" customHeight="1">
      <c r="A146" s="289" t="s">
        <v>434</v>
      </c>
      <c r="B146" s="466" t="str">
        <f>CHOOSE(Beszámoló!$F$2,Nyelv!B86,Nyelv!C86,Nyelv!D86,Nyelv!E86)</f>
        <v>3. Tartozások kötvénykibocsátásból</v>
      </c>
      <c r="C146" s="466"/>
      <c r="D146" s="466"/>
      <c r="E146" s="344">
        <f>Adatbevitel!C87</f>
        <v>7000000</v>
      </c>
      <c r="F146" s="344">
        <f>Adatbevitel!D87</f>
        <v>0</v>
      </c>
      <c r="G146" s="309">
        <f>Adatbevitel!E87</f>
        <v>7000000</v>
      </c>
      <c r="L146" s="443"/>
    </row>
    <row r="147" spans="1:12" ht="17.100000000000001" customHeight="1">
      <c r="A147" s="322" t="s">
        <v>435</v>
      </c>
      <c r="B147" s="466" t="str">
        <f>CHOOSE(Beszámoló!$F$2,Nyelv!B87,Nyelv!C87,Nyelv!D87,Nyelv!E87)</f>
        <v>4. Beruházási és fejlesztési hitelek</v>
      </c>
      <c r="C147" s="466"/>
      <c r="D147" s="466"/>
      <c r="E147" s="344">
        <f>Adatbevitel!C88</f>
        <v>0</v>
      </c>
      <c r="F147" s="344">
        <f>Adatbevitel!D88</f>
        <v>0</v>
      </c>
      <c r="G147" s="309">
        <f>Adatbevitel!E88</f>
        <v>0</v>
      </c>
      <c r="L147" s="443"/>
    </row>
    <row r="148" spans="1:12" ht="17.100000000000001" customHeight="1">
      <c r="A148" s="289" t="s">
        <v>436</v>
      </c>
      <c r="B148" s="466" t="str">
        <f>CHOOSE(Beszámoló!$F$2,Nyelv!B88,Nyelv!C88,Nyelv!D88,Nyelv!E88)</f>
        <v>5. Egyéb hosszú lejáratú hitelek</v>
      </c>
      <c r="C148" s="466"/>
      <c r="D148" s="466"/>
      <c r="E148" s="344">
        <f>Adatbevitel!C89</f>
        <v>0</v>
      </c>
      <c r="F148" s="344">
        <f>Adatbevitel!D89</f>
        <v>0</v>
      </c>
      <c r="G148" s="309">
        <f>Adatbevitel!E89</f>
        <v>0</v>
      </c>
      <c r="L148" s="443"/>
    </row>
    <row r="149" spans="1:12" ht="17.100000000000001" customHeight="1">
      <c r="A149" s="322" t="s">
        <v>437</v>
      </c>
      <c r="B149" s="466" t="str">
        <f>CHOOSE(Beszámoló!$F$2,Nyelv!B89,Nyelv!C89,Nyelv!D89,Nyelv!E89)</f>
        <v>6. Tartós kötelezettségek kapcsolt vállalkozással szemben</v>
      </c>
      <c r="C149" s="466"/>
      <c r="D149" s="466"/>
      <c r="E149" s="344">
        <f>Adatbevitel!C90</f>
        <v>0</v>
      </c>
      <c r="F149" s="344">
        <f>Adatbevitel!D90</f>
        <v>0</v>
      </c>
      <c r="G149" s="309">
        <f>Adatbevitel!E90</f>
        <v>0</v>
      </c>
      <c r="L149" s="443"/>
    </row>
    <row r="150" spans="1:12" ht="24" customHeight="1">
      <c r="A150" s="289" t="s">
        <v>438</v>
      </c>
      <c r="B150" s="473" t="str">
        <f>CHOOSE(Beszámoló!$F$2,Nyelv!B90,Nyelv!C90,Nyelv!D90,Nyelv!E90)</f>
        <v>7. Tartós kötelezettségek jelentős tulajdoni részesedési viszonyban lévő vállalkozásokkal szemben</v>
      </c>
      <c r="C150" s="473"/>
      <c r="D150" s="473"/>
      <c r="E150" s="344">
        <f>Adatbevitel!C91</f>
        <v>0</v>
      </c>
      <c r="F150" s="344">
        <f>Adatbevitel!D91</f>
        <v>0</v>
      </c>
      <c r="G150" s="309">
        <f>Adatbevitel!E91</f>
        <v>0</v>
      </c>
      <c r="L150" s="443"/>
    </row>
    <row r="151" spans="1:12" ht="24" customHeight="1">
      <c r="A151" s="322" t="s">
        <v>439</v>
      </c>
      <c r="B151" s="473" t="str">
        <f>CHOOSE(Beszámoló!$F$2,Nyelv!B91,Nyelv!C91,Nyelv!D91,Nyelv!E91)</f>
        <v>8. Tartós kötelezettségek egyéb részesedési viszonyban lévő vállalkozással szemben</v>
      </c>
      <c r="C151" s="473"/>
      <c r="D151" s="473"/>
      <c r="E151" s="344">
        <f>Adatbevitel!C92</f>
        <v>0</v>
      </c>
      <c r="F151" s="344">
        <f>Adatbevitel!D92</f>
        <v>0</v>
      </c>
      <c r="G151" s="309">
        <f>Adatbevitel!E92</f>
        <v>0</v>
      </c>
      <c r="L151" s="443"/>
    </row>
    <row r="152" spans="1:12" ht="17.100000000000001" customHeight="1">
      <c r="A152" s="289" t="s">
        <v>440</v>
      </c>
      <c r="B152" s="466" t="str">
        <f>CHOOSE(Beszámoló!$F$2,Nyelv!B92,Nyelv!C92,Nyelv!D92,Nyelv!E92)</f>
        <v>9. Egyéb hosszú lejáratú kötelezettségek</v>
      </c>
      <c r="C152" s="466"/>
      <c r="D152" s="466"/>
      <c r="E152" s="344">
        <f>Adatbevitel!C93</f>
        <v>138632</v>
      </c>
      <c r="F152" s="344">
        <f>Adatbevitel!D93</f>
        <v>0</v>
      </c>
      <c r="G152" s="309">
        <f>Adatbevitel!E93</f>
        <v>177807</v>
      </c>
      <c r="L152" s="443"/>
    </row>
    <row r="153" spans="1:12" s="276" customFormat="1" ht="17.100000000000001" customHeight="1">
      <c r="A153" s="322" t="s">
        <v>441</v>
      </c>
      <c r="B153" s="470" t="str">
        <f>CHOOSE(Beszámoló!$F$2,Nyelv!B93,Nyelv!C93,Nyelv!D93,Nyelv!E93)</f>
        <v>III. RÖVID LEJÁRATÚ KÖTELEZETTSÉGEK (93.-104. sorok)</v>
      </c>
      <c r="C153" s="470"/>
      <c r="D153" s="470"/>
      <c r="E153" s="360">
        <f>Adatbevitel!C94</f>
        <v>19831277</v>
      </c>
      <c r="F153" s="360">
        <f>Adatbevitel!D94</f>
        <v>0</v>
      </c>
      <c r="G153" s="292">
        <f>Adatbevitel!E94</f>
        <v>22257258</v>
      </c>
      <c r="L153" s="442"/>
    </row>
    <row r="154" spans="1:12" s="276" customFormat="1" ht="17.100000000000001" customHeight="1">
      <c r="A154" s="289" t="s">
        <v>442</v>
      </c>
      <c r="B154" s="466" t="str">
        <f>CHOOSE(Beszámoló!$F$2,Nyelv!B94,Nyelv!C94,Nyelv!D94,Nyelv!E94)</f>
        <v>1. Rövid lejáratú kölcsönök</v>
      </c>
      <c r="C154" s="466"/>
      <c r="D154" s="466"/>
      <c r="E154" s="344">
        <f>Adatbevitel!C95</f>
        <v>0</v>
      </c>
      <c r="F154" s="344">
        <f>Adatbevitel!D95</f>
        <v>0</v>
      </c>
      <c r="G154" s="309">
        <f>Adatbevitel!E95</f>
        <v>0</v>
      </c>
      <c r="L154" s="442"/>
    </row>
    <row r="155" spans="1:12" s="276" customFormat="1" ht="17.100000000000001" customHeight="1">
      <c r="A155" s="322" t="s">
        <v>443</v>
      </c>
      <c r="B155" s="466" t="str">
        <f>CHOOSE(Beszámoló!$F$2,Nyelv!B95,Nyelv!C95,Nyelv!D95,Nyelv!E95)</f>
        <v xml:space="preserve">     - Ebből: az átváltoztatható kötvények</v>
      </c>
      <c r="C155" s="466"/>
      <c r="D155" s="466"/>
      <c r="E155" s="344">
        <f>Adatbevitel!C96</f>
        <v>0</v>
      </c>
      <c r="F155" s="344">
        <f>Adatbevitel!D96</f>
        <v>0</v>
      </c>
      <c r="G155" s="309">
        <f>Adatbevitel!E96</f>
        <v>0</v>
      </c>
      <c r="L155" s="442"/>
    </row>
    <row r="156" spans="1:12" s="276" customFormat="1" ht="17.100000000000001" customHeight="1">
      <c r="A156" s="289" t="s">
        <v>444</v>
      </c>
      <c r="B156" s="466" t="str">
        <f>CHOOSE(Beszámoló!$F$2,Nyelv!B96,Nyelv!C96,Nyelv!D96,Nyelv!E96)</f>
        <v>2. Rövid lejáratú hitelek</v>
      </c>
      <c r="C156" s="466"/>
      <c r="D156" s="466"/>
      <c r="E156" s="344">
        <f>Adatbevitel!C97</f>
        <v>0</v>
      </c>
      <c r="F156" s="344">
        <f>Adatbevitel!D97</f>
        <v>0</v>
      </c>
      <c r="G156" s="309">
        <f>Adatbevitel!E97</f>
        <v>0</v>
      </c>
      <c r="L156" s="442"/>
    </row>
    <row r="157" spans="1:12" ht="17.100000000000001" customHeight="1">
      <c r="A157" s="322" t="s">
        <v>445</v>
      </c>
      <c r="B157" s="466" t="str">
        <f>CHOOSE(Beszámoló!$F$2,Nyelv!B97,Nyelv!C97,Nyelv!D97,Nyelv!E97)</f>
        <v>3. Vevőktől kapott előlegek</v>
      </c>
      <c r="C157" s="466"/>
      <c r="D157" s="466"/>
      <c r="E157" s="344">
        <f>Adatbevitel!C98</f>
        <v>20133</v>
      </c>
      <c r="F157" s="344">
        <f>Adatbevitel!D98</f>
        <v>0</v>
      </c>
      <c r="G157" s="309">
        <f>Adatbevitel!E98</f>
        <v>34629</v>
      </c>
    </row>
    <row r="158" spans="1:12" ht="17.100000000000001" customHeight="1">
      <c r="A158" s="289" t="s">
        <v>446</v>
      </c>
      <c r="B158" s="466" t="str">
        <f>CHOOSE(Beszámoló!$F$2,Nyelv!B98,Nyelv!C98,Nyelv!D98,Nyelv!E98)</f>
        <v>4. Kötelezettségek áruszállításból és szolgáltatásból (szállítók)</v>
      </c>
      <c r="C158" s="466"/>
      <c r="D158" s="466"/>
      <c r="E158" s="344">
        <f>Adatbevitel!C99</f>
        <v>18689912</v>
      </c>
      <c r="F158" s="344">
        <f>Adatbevitel!D99</f>
        <v>0</v>
      </c>
      <c r="G158" s="309">
        <f>Adatbevitel!E99</f>
        <v>20978413</v>
      </c>
      <c r="I158" s="359"/>
    </row>
    <row r="159" spans="1:12" ht="17.100000000000001" customHeight="1">
      <c r="A159" s="322" t="s">
        <v>447</v>
      </c>
      <c r="B159" s="466" t="str">
        <f>CHOOSE(Beszámoló!$F$2,Nyelv!B99,Nyelv!C99,Nyelv!D99,Nyelv!E99)</f>
        <v>5. Váltótartozások</v>
      </c>
      <c r="C159" s="466"/>
      <c r="D159" s="466"/>
      <c r="E159" s="344">
        <f>Adatbevitel!C100</f>
        <v>0</v>
      </c>
      <c r="F159" s="344">
        <f>Adatbevitel!D100</f>
        <v>0</v>
      </c>
      <c r="G159" s="309">
        <f>Adatbevitel!E100</f>
        <v>0</v>
      </c>
    </row>
    <row r="160" spans="1:12" ht="17.100000000000001" customHeight="1">
      <c r="A160" s="289" t="s">
        <v>448</v>
      </c>
      <c r="B160" s="473" t="str">
        <f>CHOOSE(Beszámoló!$F$2,Nyelv!B100,Nyelv!C100,Nyelv!D100,Nyelv!E100)</f>
        <v>6. Rövid lejáratú kötelezettségek kapcsolt vállalkozással szemben</v>
      </c>
      <c r="C160" s="473"/>
      <c r="D160" s="473"/>
      <c r="E160" s="344">
        <f>Adatbevitel!C101</f>
        <v>0</v>
      </c>
      <c r="F160" s="344">
        <f>Adatbevitel!D101</f>
        <v>0</v>
      </c>
      <c r="G160" s="309">
        <f>Adatbevitel!E101</f>
        <v>0</v>
      </c>
    </row>
    <row r="161" spans="1:12" ht="25.5" customHeight="1">
      <c r="A161" s="322" t="s">
        <v>449</v>
      </c>
      <c r="B161" s="473" t="str">
        <f>CHOOSE(Beszámoló!$F$2,Nyelv!B101,Nyelv!C101,Nyelv!D101,Nyelv!E101)</f>
        <v>7. Rövid lejáratú kötelezettségek jelentős tulajdoni viszonyban lévő vállalkozásokkal szemben</v>
      </c>
      <c r="C161" s="473"/>
      <c r="D161" s="473"/>
      <c r="E161" s="344">
        <f>Adatbevitel!C102</f>
        <v>699</v>
      </c>
      <c r="F161" s="344">
        <f>Adatbevitel!D102</f>
        <v>0</v>
      </c>
      <c r="G161" s="309">
        <f>Adatbevitel!E102</f>
        <v>0</v>
      </c>
      <c r="I161" s="359"/>
    </row>
    <row r="162" spans="1:12" ht="23.25" customHeight="1">
      <c r="A162" s="289" t="s">
        <v>450</v>
      </c>
      <c r="B162" s="474" t="str">
        <f>CHOOSE(Beszámoló!$F$2,Nyelv!B102,Nyelv!C102,Nyelv!D102,Nyelv!E102)</f>
        <v>8. Rövid lejáratú kötelezettségek egyéb részesedési viszonyban lévő vállalkozással szemben</v>
      </c>
      <c r="C162" s="474"/>
      <c r="D162" s="474"/>
      <c r="E162" s="344">
        <f>Adatbevitel!C103</f>
        <v>0</v>
      </c>
      <c r="F162" s="344">
        <f>Adatbevitel!D103</f>
        <v>0</v>
      </c>
      <c r="G162" s="309">
        <f>Adatbevitel!E103</f>
        <v>0</v>
      </c>
    </row>
    <row r="163" spans="1:12" ht="17.100000000000001" customHeight="1">
      <c r="A163" s="322" t="s">
        <v>451</v>
      </c>
      <c r="B163" s="466" t="str">
        <f>CHOOSE(Beszámoló!$F$2,Nyelv!B103,Nyelv!C103,Nyelv!D103,Nyelv!E103)</f>
        <v>9. Egyéb rövid lejáratú kötelezettségek</v>
      </c>
      <c r="C163" s="466"/>
      <c r="D163" s="466"/>
      <c r="E163" s="344">
        <f>Adatbevitel!C104</f>
        <v>1120533</v>
      </c>
      <c r="F163" s="344">
        <f>Adatbevitel!D104</f>
        <v>0</v>
      </c>
      <c r="G163" s="309">
        <f>Adatbevitel!E104</f>
        <v>1244216</v>
      </c>
    </row>
    <row r="164" spans="1:12" ht="17.100000000000001" customHeight="1">
      <c r="A164" s="289" t="s">
        <v>452</v>
      </c>
      <c r="B164" s="466" t="str">
        <f>CHOOSE(Beszámoló!$F$2,Nyelv!B104,Nyelv!C104,Nyelv!D104,Nyelv!E104)</f>
        <v>10. Kötelezettségek értékelési különbözete</v>
      </c>
      <c r="C164" s="466"/>
      <c r="D164" s="466"/>
      <c r="E164" s="344">
        <f>Adatbevitel!C105</f>
        <v>0</v>
      </c>
      <c r="F164" s="344">
        <f>Adatbevitel!D105</f>
        <v>0</v>
      </c>
      <c r="G164" s="309">
        <f>Adatbevitel!E105</f>
        <v>0</v>
      </c>
    </row>
    <row r="165" spans="1:12" ht="17.100000000000001" customHeight="1">
      <c r="A165" s="322" t="s">
        <v>453</v>
      </c>
      <c r="B165" s="466" t="str">
        <f>CHOOSE(Beszámoló!$F$2,Nyelv!B105,Nyelv!C105,Nyelv!D105,Nyelv!E105)</f>
        <v>11. Származékos ügyletek negatív értékelési különbözete</v>
      </c>
      <c r="C165" s="466"/>
      <c r="D165" s="466"/>
      <c r="E165" s="344">
        <f>Adatbevitel!C106</f>
        <v>0</v>
      </c>
      <c r="F165" s="344">
        <f>Adatbevitel!D106</f>
        <v>0</v>
      </c>
      <c r="G165" s="309">
        <f>Adatbevitel!E106</f>
        <v>0</v>
      </c>
    </row>
    <row r="166" spans="1:12" ht="18" customHeight="1">
      <c r="A166" s="289" t="s">
        <v>454</v>
      </c>
      <c r="B166" s="470" t="str">
        <f>CHOOSE(Beszámoló!$F$2,Nyelv!B106,Nyelv!C106,Nyelv!D106,Nyelv!E106)</f>
        <v>G. Passzív időbeli elhatárolások  (106.-108. sorok)</v>
      </c>
      <c r="C166" s="470"/>
      <c r="D166" s="470"/>
      <c r="E166" s="360">
        <f>Adatbevitel!C107</f>
        <v>1471825</v>
      </c>
      <c r="F166" s="360">
        <f>Adatbevitel!D107</f>
        <v>0</v>
      </c>
      <c r="G166" s="292">
        <f>Adatbevitel!E107</f>
        <v>1945527</v>
      </c>
      <c r="L166" s="443"/>
    </row>
    <row r="167" spans="1:12" ht="17.100000000000001" customHeight="1">
      <c r="A167" s="293" t="s">
        <v>455</v>
      </c>
      <c r="B167" s="369" t="str">
        <f>CHOOSE(Beszámoló!$F$2,Nyelv!B107,Nyelv!C107,Nyelv!D107,Nyelv!E107)</f>
        <v>1. Bevételek passzív időbeli elhatárolása</v>
      </c>
      <c r="C167" s="368"/>
      <c r="D167" s="370"/>
      <c r="E167" s="364">
        <f>Adatbevitel!C108</f>
        <v>0</v>
      </c>
      <c r="F167" s="364">
        <f>Adatbevitel!D108</f>
        <v>0</v>
      </c>
      <c r="G167" s="341">
        <f>Adatbevitel!E108</f>
        <v>0</v>
      </c>
    </row>
    <row r="168" spans="1:12" ht="17.100000000000001" customHeight="1">
      <c r="A168" s="289" t="s">
        <v>456</v>
      </c>
      <c r="B168" s="371" t="str">
        <f>CHOOSE(Beszámoló!$F$2,Nyelv!B108,Nyelv!C108,Nyelv!D108,Nyelv!E108)</f>
        <v>2. Költségek, ráfordítások passzív időbeli elhatárolása</v>
      </c>
      <c r="C168" s="372"/>
      <c r="D168" s="373"/>
      <c r="E168" s="308">
        <f>Adatbevitel!C109</f>
        <v>812333</v>
      </c>
      <c r="F168" s="308">
        <f>Adatbevitel!D109</f>
        <v>0</v>
      </c>
      <c r="G168" s="309">
        <f>Adatbevitel!E109</f>
        <v>1380714</v>
      </c>
    </row>
    <row r="169" spans="1:12" ht="17.100000000000001" customHeight="1">
      <c r="A169" s="293" t="s">
        <v>457</v>
      </c>
      <c r="B169" s="481" t="str">
        <f>CHOOSE(Beszámoló!$F$2,Nyelv!B109,Nyelv!C109,Nyelv!D109,Nyelv!E109)</f>
        <v>3. Halasztott bevételek</v>
      </c>
      <c r="C169" s="481"/>
      <c r="D169" s="481"/>
      <c r="E169" s="308">
        <f>Adatbevitel!C110</f>
        <v>659492</v>
      </c>
      <c r="F169" s="308">
        <f>Adatbevitel!D110</f>
        <v>0</v>
      </c>
      <c r="G169" s="309">
        <f>Adatbevitel!E110</f>
        <v>564813</v>
      </c>
    </row>
    <row r="170" spans="1:12" ht="17.100000000000001" customHeight="1">
      <c r="A170" s="289" t="s">
        <v>458</v>
      </c>
      <c r="B170" s="482" t="str">
        <f>CHOOSE(Beszámoló!$F$2,Nyelv!B110,Nyelv!C110,Nyelv!D110,Nyelv!E110)</f>
        <v>Források összesen  (61.+72.+76.+105. sor)</v>
      </c>
      <c r="C170" s="482"/>
      <c r="D170" s="482"/>
      <c r="E170" s="374">
        <f>Adatbevitel!C111</f>
        <v>37684727</v>
      </c>
      <c r="F170" s="374">
        <f>Adatbevitel!D111</f>
        <v>0</v>
      </c>
      <c r="G170" s="375">
        <f>Adatbevitel!E111</f>
        <v>41578526</v>
      </c>
    </row>
    <row r="171" spans="1:12" ht="12.75" customHeight="1">
      <c r="A171" s="315"/>
      <c r="B171" s="281"/>
      <c r="C171" s="281"/>
      <c r="D171" s="281"/>
      <c r="E171" s="314"/>
      <c r="F171" s="314"/>
      <c r="G171" s="314"/>
    </row>
    <row r="172" spans="1:12" ht="12.75" customHeight="1">
      <c r="A172" s="279" t="str">
        <f xml:space="preserve"> Alapadatok!E12</f>
        <v>Veszprém, 2023. január 30</v>
      </c>
      <c r="B172" s="317"/>
      <c r="C172" s="277"/>
      <c r="D172" s="277"/>
      <c r="E172" s="318"/>
      <c r="F172" s="277"/>
      <c r="G172" s="277"/>
    </row>
    <row r="173" spans="1:12" ht="12.75" customHeight="1">
      <c r="A173" s="277"/>
      <c r="B173" s="277"/>
      <c r="C173" s="277"/>
      <c r="D173" s="277"/>
      <c r="E173" s="471" t="str">
        <f>IF(Beszámoló!$F$2=1,Nyelv_old!$E$7,IF(Beszámoló!$F$2=2,Nyelv_old!$F$7,IF(Beszámoló!$F$2=3,Nyelv_old!$G$7,Nyelv_old!$H$7)))</f>
        <v>a vállalkozás vezetője</v>
      </c>
      <c r="F173" s="471"/>
      <c r="G173" s="471"/>
    </row>
    <row r="174" spans="1:12" ht="12.75" customHeight="1">
      <c r="A174" s="277"/>
      <c r="B174" s="277"/>
      <c r="C174" s="277"/>
      <c r="D174" s="277"/>
      <c r="E174" s="472" t="str">
        <f>IF(Beszámoló!$F$2=1,Nyelv_old!$E$8,IF(Beszámoló!$F$2=2,Nyelv_old!$F$8,IF(Beszámoló!$F$2=3,Nyelv_old!$G$8,Nyelv_old!$H$8)))</f>
        <v>(képviselője)</v>
      </c>
      <c r="F174" s="472"/>
      <c r="G174" s="472"/>
    </row>
    <row r="177" spans="5:7" ht="15" customHeight="1">
      <c r="G177" s="376">
        <f>G170-G89</f>
        <v>0</v>
      </c>
    </row>
    <row r="178" spans="5:7" ht="15" customHeight="1">
      <c r="E178" s="359"/>
      <c r="F178" s="359"/>
      <c r="G178" s="359"/>
    </row>
  </sheetData>
  <sheetProtection selectLockedCells="1" selectUnlockedCells="1"/>
  <mergeCells count="163">
    <mergeCell ref="B170:D170"/>
    <mergeCell ref="E173:G173"/>
    <mergeCell ref="E174:G174"/>
    <mergeCell ref="B160:D160"/>
    <mergeCell ref="B161:D161"/>
    <mergeCell ref="B162:D162"/>
    <mergeCell ref="B163:D163"/>
    <mergeCell ref="B164:D164"/>
    <mergeCell ref="B165:D165"/>
    <mergeCell ref="B155:D155"/>
    <mergeCell ref="B156:D156"/>
    <mergeCell ref="B157:D157"/>
    <mergeCell ref="B158:D158"/>
    <mergeCell ref="B159:D159"/>
    <mergeCell ref="B169:D169"/>
    <mergeCell ref="B166:D166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A137:G137"/>
    <mergeCell ref="A138:G138"/>
    <mergeCell ref="A139:B139"/>
    <mergeCell ref="F140:G140"/>
    <mergeCell ref="B141:D141"/>
    <mergeCell ref="B142:D142"/>
    <mergeCell ref="A131:B131"/>
    <mergeCell ref="D131:G132"/>
    <mergeCell ref="A132:B132"/>
    <mergeCell ref="A134:B134"/>
    <mergeCell ref="F134:G134"/>
    <mergeCell ref="A136:G136"/>
    <mergeCell ref="B123:D123"/>
    <mergeCell ref="B124:D124"/>
    <mergeCell ref="B125:D125"/>
    <mergeCell ref="B126:D126"/>
    <mergeCell ref="E129:G129"/>
    <mergeCell ref="E130:G130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A99:G99"/>
    <mergeCell ref="A100:G100"/>
    <mergeCell ref="A101:G101"/>
    <mergeCell ref="A102:B102"/>
    <mergeCell ref="F103:G103"/>
    <mergeCell ref="B104:D104"/>
    <mergeCell ref="E93:G93"/>
    <mergeCell ref="A94:B94"/>
    <mergeCell ref="D94:G95"/>
    <mergeCell ref="A95:B95"/>
    <mergeCell ref="A97:B97"/>
    <mergeCell ref="F97:G97"/>
    <mergeCell ref="B85:D85"/>
    <mergeCell ref="B86:D86"/>
    <mergeCell ref="B87:D87"/>
    <mergeCell ref="B88:D88"/>
    <mergeCell ref="B89:D89"/>
    <mergeCell ref="E92:G92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F55:G55"/>
    <mergeCell ref="B56:D56"/>
    <mergeCell ref="B57:D57"/>
    <mergeCell ref="B58:D58"/>
    <mergeCell ref="B59:D59"/>
    <mergeCell ref="B60:D60"/>
    <mergeCell ref="A49:B49"/>
    <mergeCell ref="F49:G49"/>
    <mergeCell ref="A51:G51"/>
    <mergeCell ref="A52:G52"/>
    <mergeCell ref="A53:G53"/>
    <mergeCell ref="A54:B54"/>
    <mergeCell ref="B40:D40"/>
    <mergeCell ref="E44:G44"/>
    <mergeCell ref="E45:G45"/>
    <mergeCell ref="A46:B46"/>
    <mergeCell ref="D46:G47"/>
    <mergeCell ref="A47:B47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F10:G10"/>
    <mergeCell ref="B11:D11"/>
    <mergeCell ref="B12:D12"/>
    <mergeCell ref="B13:D13"/>
    <mergeCell ref="B14:D14"/>
    <mergeCell ref="B15:D15"/>
    <mergeCell ref="A7:G7"/>
    <mergeCell ref="A8:G8"/>
    <mergeCell ref="A9:B9"/>
    <mergeCell ref="A1:B1"/>
    <mergeCell ref="D1:G2"/>
    <mergeCell ref="A2:B2"/>
    <mergeCell ref="A4:B4"/>
    <mergeCell ref="F4:G4"/>
    <mergeCell ref="A6:G6"/>
  </mergeCells>
  <pageMargins left="0.78749999999999998" right="0.78749999999999998" top="0.51180555555555551" bottom="0.51180555555555551" header="0.51180555555555551" footer="0.51180555555555551"/>
  <pageSetup paperSize="9" scale="98" firstPageNumber="0" orientation="portrait" r:id="rId1"/>
  <headerFooter alignWithMargins="0"/>
  <rowBreaks count="3" manualBreakCount="3">
    <brk id="45" max="16383" man="1"/>
    <brk id="93" max="16383" man="1"/>
    <brk id="1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>
    <tabColor rgb="FFFFFF00"/>
  </sheetPr>
  <dimension ref="A1:K95"/>
  <sheetViews>
    <sheetView tabSelected="1" topLeftCell="A67" zoomScale="115" zoomScaleNormal="115" workbookViewId="0">
      <selection activeCell="AF39" sqref="AF39"/>
    </sheetView>
  </sheetViews>
  <sheetFormatPr defaultColWidth="8.88671875" defaultRowHeight="15.75"/>
  <cols>
    <col min="1" max="1" width="5.77734375" style="283" customWidth="1"/>
    <col min="2" max="2" width="28.77734375" style="283" customWidth="1"/>
    <col min="3" max="3" width="3.33203125" style="283" customWidth="1"/>
    <col min="4" max="4" width="8.33203125" style="283" customWidth="1"/>
    <col min="5" max="5" width="9" style="283" bestFit="1" customWidth="1"/>
    <col min="6" max="6" width="7.44140625" style="283" bestFit="1" customWidth="1"/>
    <col min="7" max="7" width="8.77734375" style="283" bestFit="1" customWidth="1"/>
    <col min="8" max="16384" width="8.88671875" style="283"/>
  </cols>
  <sheetData>
    <row r="1" spans="1:11" ht="12.75" customHeight="1">
      <c r="A1" s="463" t="str">
        <f>CONCATENATE(" Statisztikai számjel: ",Alapadatok!$E$6)</f>
        <v xml:space="preserve"> Statisztikai számjel: 10233342-4754-113-19</v>
      </c>
      <c r="B1" s="463"/>
      <c r="C1" s="278"/>
      <c r="D1" s="464"/>
      <c r="E1" s="464"/>
      <c r="F1" s="464"/>
      <c r="G1" s="464"/>
      <c r="I1" s="296"/>
    </row>
    <row r="2" spans="1:11" ht="12.75" customHeight="1">
      <c r="A2" s="463" t="str">
        <f>CONCATENATE(" Cégjegyzék szám: ",Alapadatok!$E$7)</f>
        <v xml:space="preserve"> Cégjegyzék szám: 19-09-513341</v>
      </c>
      <c r="B2" s="463"/>
      <c r="C2" s="282"/>
      <c r="D2" s="464"/>
      <c r="E2" s="464"/>
      <c r="F2" s="464"/>
      <c r="G2" s="464"/>
      <c r="I2" s="285" t="s">
        <v>336</v>
      </c>
      <c r="J2" s="286"/>
      <c r="K2" s="286"/>
    </row>
    <row r="3" spans="1:11" ht="12.75" customHeight="1">
      <c r="A3" s="277"/>
    </row>
    <row r="4" spans="1:11" ht="12.75" customHeight="1">
      <c r="A4" s="463" t="str">
        <f>Alapadatok!$E$9</f>
        <v>VÖRÖSKŐ KFT.</v>
      </c>
      <c r="B4" s="463"/>
      <c r="C4" s="276"/>
      <c r="D4" s="276"/>
      <c r="F4" s="465"/>
      <c r="G4" s="465"/>
    </row>
    <row r="5" spans="1:11" ht="12.75" customHeight="1">
      <c r="A5" s="276"/>
      <c r="B5" s="276"/>
      <c r="C5" s="276"/>
      <c r="D5" s="276"/>
      <c r="G5" s="284"/>
    </row>
    <row r="6" spans="1:11" ht="15" customHeight="1">
      <c r="A6" s="461" t="str">
        <f>IF(Beszámoló!$F$2=1,Nyelv_old!$E$23,IF(Beszámoló!$F$2=2,Nyelv_old!$F$23,IF(Beszámoló!$F$2=3,Nyelv_old!$G$23,Nyelv_old!$H$23)))</f>
        <v>Eredménykimutatás</v>
      </c>
      <c r="B6" s="461"/>
      <c r="C6" s="461"/>
      <c r="D6" s="461"/>
      <c r="E6" s="461"/>
      <c r="F6" s="461"/>
      <c r="G6" s="461"/>
    </row>
    <row r="7" spans="1:11" ht="15" customHeight="1">
      <c r="A7" s="483" t="str">
        <f>IF(Beszámoló!$F$2=1,Nyelv_old!$E$24,IF(Beszámoló!$F$2=2,Nyelv_old!$F$24,IF(Beszámoló!$F$2=3,Nyelv_old!$G$24,Nyelv_old!$H$24)))</f>
        <v>(Összköltség eljárással)</v>
      </c>
      <c r="B7" s="483"/>
      <c r="C7" s="483"/>
      <c r="D7" s="483"/>
      <c r="E7" s="483"/>
      <c r="F7" s="483"/>
      <c r="G7" s="483"/>
    </row>
    <row r="8" spans="1:11" ht="15" customHeight="1">
      <c r="A8" s="462" t="s">
        <v>459</v>
      </c>
      <c r="B8" s="462"/>
      <c r="C8" s="462"/>
      <c r="D8" s="462"/>
      <c r="E8" s="462"/>
      <c r="F8" s="462"/>
      <c r="G8" s="462"/>
    </row>
    <row r="9" spans="1:11" ht="12.75" customHeight="1">
      <c r="A9" s="484"/>
      <c r="B9" s="484"/>
      <c r="C9" s="297"/>
      <c r="D9" s="297"/>
      <c r="E9" s="297"/>
      <c r="F9" s="297"/>
      <c r="G9" s="297"/>
    </row>
    <row r="10" spans="1:11" ht="12.75" customHeight="1">
      <c r="A10" s="279"/>
      <c r="B10" s="280"/>
      <c r="C10" s="279"/>
      <c r="D10" s="279"/>
      <c r="E10" s="279"/>
      <c r="F10" s="467" t="str">
        <f>IF(Beszámoló!$F$2=1,Nyelv_old!$E$16,IF(Beszámoló!$F$2=2,Nyelv_old!$F$16,IF(Beszámoló!$F$2=3,Nyelv_old!$G$16,Nyelv_old!$H$16)))</f>
        <v>adatok E Ft-ban</v>
      </c>
      <c r="G10" s="467"/>
    </row>
    <row r="11" spans="1:11" ht="36.75" customHeight="1">
      <c r="A11" s="288" t="str">
        <f>IF(Beszámoló!$F$2=1,Nyelv_old!$E$17,IF(Beszámoló!$F$2=2,Nyelv_old!$F$17,IF(Beszámoló!$F$2=3,Nyelv_old!$G$17,Nyelv_old!$H$17)))</f>
        <v>Sorszám</v>
      </c>
      <c r="B11" s="468" t="str">
        <f>IF(Beszámoló!$F$2=1,Nyelv_old!$E$18,IF(Beszámoló!$F$2=2,Nyelv_old!$F$18,IF(Beszámoló!$F$2=3,Nyelv_old!$G$18,Nyelv_old!$H$18)))</f>
        <v>A tétel megnevezése</v>
      </c>
      <c r="C11" s="468"/>
      <c r="D11" s="468"/>
      <c r="E11" s="447">
        <v>44742</v>
      </c>
      <c r="F11" s="449" t="s">
        <v>1123</v>
      </c>
      <c r="G11" s="448">
        <v>44926</v>
      </c>
    </row>
    <row r="12" spans="1:11" ht="12" customHeight="1">
      <c r="A12" s="298" t="s">
        <v>345</v>
      </c>
      <c r="B12" s="469" t="s">
        <v>346</v>
      </c>
      <c r="C12" s="469"/>
      <c r="D12" s="469"/>
      <c r="E12" s="299" t="s">
        <v>347</v>
      </c>
      <c r="F12" s="299" t="s">
        <v>348</v>
      </c>
      <c r="G12" s="300" t="s">
        <v>349</v>
      </c>
    </row>
    <row r="13" spans="1:11" ht="17.100000000000001" customHeight="1">
      <c r="A13" s="301" t="s">
        <v>350</v>
      </c>
      <c r="B13" s="466" t="str">
        <f>CHOOSE(Beszámoló!$F$2,Nyelv!B113,Nyelv!C113,Nyelv!D113,Nyelv!E113)</f>
        <v>01. Belföldi értékesítés nettó árbevétele</v>
      </c>
      <c r="C13" s="466"/>
      <c r="D13" s="466"/>
      <c r="E13" s="302">
        <f>Adatbevitel!C115</f>
        <v>88680583</v>
      </c>
      <c r="F13" s="302">
        <f>Adatbevitel!D115</f>
        <v>0</v>
      </c>
      <c r="G13" s="303">
        <f>Adatbevitel!E115</f>
        <v>54494502</v>
      </c>
    </row>
    <row r="14" spans="1:11" ht="17.100000000000001" customHeight="1">
      <c r="A14" s="304" t="s">
        <v>351</v>
      </c>
      <c r="B14" s="466" t="str">
        <f>CHOOSE(Beszámoló!$F$2,Nyelv!B114,Nyelv!C114,Nyelv!D114,Nyelv!E114)</f>
        <v>02. Exportértékesítés nettó árbevétele</v>
      </c>
      <c r="C14" s="466"/>
      <c r="D14" s="466"/>
      <c r="E14" s="305">
        <f>Adatbevitel!C116</f>
        <v>0</v>
      </c>
      <c r="F14" s="305">
        <f>Adatbevitel!D116</f>
        <v>0</v>
      </c>
      <c r="G14" s="306">
        <f>Adatbevitel!E116</f>
        <v>0</v>
      </c>
    </row>
    <row r="15" spans="1:11" s="307" customFormat="1" ht="17.100000000000001" customHeight="1">
      <c r="A15" s="289" t="s">
        <v>352</v>
      </c>
      <c r="B15" s="470" t="str">
        <f>CHOOSE(Beszámoló!$F$2,Nyelv!B115,Nyelv!C115,Nyelv!D115,Nyelv!E115)</f>
        <v>I. ÉRTÉKESÍTÉS NETTÓ ÁRBEVÉTELE (01+02)</v>
      </c>
      <c r="C15" s="470"/>
      <c r="D15" s="470"/>
      <c r="E15" s="291">
        <f>Adatbevitel!C117</f>
        <v>88680583</v>
      </c>
      <c r="F15" s="291">
        <f>Adatbevitel!D117</f>
        <v>0</v>
      </c>
      <c r="G15" s="292">
        <f>Adatbevitel!E117</f>
        <v>54494502</v>
      </c>
    </row>
    <row r="16" spans="1:11" s="307" customFormat="1" ht="17.100000000000001" customHeight="1">
      <c r="A16" s="304" t="s">
        <v>353</v>
      </c>
      <c r="B16" s="466" t="str">
        <f>CHOOSE(Beszámoló!$F$2,Nyelv!B116,Nyelv!C116,Nyelv!D116,Nyelv!E116)</f>
        <v>03. Saját termelésű készletek állományváltozása</v>
      </c>
      <c r="C16" s="466"/>
      <c r="D16" s="466"/>
      <c r="E16" s="308">
        <f>Adatbevitel!C118</f>
        <v>0</v>
      </c>
      <c r="F16" s="308">
        <f>Adatbevitel!D118</f>
        <v>0</v>
      </c>
      <c r="G16" s="309">
        <f>Adatbevitel!E118</f>
        <v>0</v>
      </c>
    </row>
    <row r="17" spans="1:8" s="307" customFormat="1" ht="17.100000000000001" customHeight="1">
      <c r="A17" s="289" t="s">
        <v>354</v>
      </c>
      <c r="B17" s="466" t="str">
        <f>CHOOSE(Beszámoló!$F$2,Nyelv!B117,Nyelv!C117,Nyelv!D117,Nyelv!E117)</f>
        <v>04. Saját előállítású eszközök aktivált értéke</v>
      </c>
      <c r="C17" s="466"/>
      <c r="D17" s="466"/>
      <c r="E17" s="308">
        <f>Adatbevitel!C119</f>
        <v>0</v>
      </c>
      <c r="F17" s="308">
        <f>Adatbevitel!D119</f>
        <v>0</v>
      </c>
      <c r="G17" s="309">
        <f>Adatbevitel!E119</f>
        <v>0</v>
      </c>
    </row>
    <row r="18" spans="1:8" s="307" customFormat="1" ht="17.100000000000001" customHeight="1">
      <c r="A18" s="304" t="s">
        <v>355</v>
      </c>
      <c r="B18" s="470" t="str">
        <f>CHOOSE(Beszámoló!$F$2,Nyelv!B118,Nyelv!C118,Nyelv!D118,Nyelv!E118)</f>
        <v>II. AKTIVÁLT SAJÁT TELJESÍTMÉNYEK ÉRTÉKE (03+04)</v>
      </c>
      <c r="C18" s="470"/>
      <c r="D18" s="470"/>
      <c r="E18" s="291">
        <f>Adatbevitel!C120</f>
        <v>0</v>
      </c>
      <c r="F18" s="291">
        <f>Adatbevitel!D120</f>
        <v>0</v>
      </c>
      <c r="G18" s="292">
        <f>Adatbevitel!E120</f>
        <v>0</v>
      </c>
    </row>
    <row r="19" spans="1:8" s="307" customFormat="1" ht="17.100000000000001" customHeight="1">
      <c r="A19" s="289" t="s">
        <v>356</v>
      </c>
      <c r="B19" s="470" t="str">
        <f>CHOOSE(Beszámoló!$F$2,Nyelv!B119,Nyelv!C119,Nyelv!D119,Nyelv!E119)</f>
        <v>III. EGYÉB BEVÉTELEK</v>
      </c>
      <c r="C19" s="470"/>
      <c r="D19" s="470"/>
      <c r="E19" s="291">
        <f>Adatbevitel!C121</f>
        <v>12254376</v>
      </c>
      <c r="F19" s="291">
        <f>Adatbevitel!D121</f>
        <v>0</v>
      </c>
      <c r="G19" s="292">
        <f>Adatbevitel!E121</f>
        <v>7001352</v>
      </c>
    </row>
    <row r="20" spans="1:8" s="307" customFormat="1" ht="17.100000000000001" customHeight="1">
      <c r="A20" s="304" t="s">
        <v>357</v>
      </c>
      <c r="B20" s="466" t="str">
        <f>CHOOSE(Beszámoló!$F$2,Nyelv!B120,Nyelv!C120,Nyelv!D120,Nyelv!E120)</f>
        <v>Ebből: visszaírt értékvesztés</v>
      </c>
      <c r="C20" s="466"/>
      <c r="D20" s="466"/>
      <c r="E20" s="308">
        <f>Adatbevitel!C122</f>
        <v>328045</v>
      </c>
      <c r="F20" s="308">
        <f>Adatbevitel!D122</f>
        <v>0</v>
      </c>
      <c r="G20" s="309">
        <f>Adatbevitel!E122</f>
        <v>0</v>
      </c>
    </row>
    <row r="21" spans="1:8" s="307" customFormat="1" ht="17.100000000000001" customHeight="1">
      <c r="A21" s="289" t="s">
        <v>358</v>
      </c>
      <c r="B21" s="466" t="str">
        <f>CHOOSE(Beszámoló!$F$2,Nyelv!B121,Nyelv!C121,Nyelv!D121,Nyelv!E121)</f>
        <v>05. Anyagköltség</v>
      </c>
      <c r="C21" s="466"/>
      <c r="D21" s="466"/>
      <c r="E21" s="308">
        <f>Adatbevitel!C123</f>
        <v>617099</v>
      </c>
      <c r="F21" s="308">
        <f>Adatbevitel!D123</f>
        <v>0</v>
      </c>
      <c r="G21" s="309">
        <f>Adatbevitel!E123</f>
        <v>677893</v>
      </c>
    </row>
    <row r="22" spans="1:8" s="307" customFormat="1" ht="17.100000000000001" customHeight="1">
      <c r="A22" s="304" t="s">
        <v>359</v>
      </c>
      <c r="B22" s="466" t="str">
        <f>CHOOSE(Beszámoló!$F$2,Nyelv!B122,Nyelv!C122,Nyelv!D122,Nyelv!E122)</f>
        <v>06. Igénybe vett szolgáltatások értéke</v>
      </c>
      <c r="C22" s="466"/>
      <c r="D22" s="466"/>
      <c r="E22" s="308">
        <f>Adatbevitel!C124</f>
        <v>6571575</v>
      </c>
      <c r="F22" s="308">
        <f>Adatbevitel!D124</f>
        <v>0</v>
      </c>
      <c r="G22" s="309">
        <f>Adatbevitel!E124</f>
        <v>3937019</v>
      </c>
    </row>
    <row r="23" spans="1:8" s="307" customFormat="1" ht="17.100000000000001" customHeight="1">
      <c r="A23" s="289" t="s">
        <v>360</v>
      </c>
      <c r="B23" s="466" t="str">
        <f>CHOOSE(Beszámoló!$F$2,Nyelv!B123,Nyelv!C123,Nyelv!D123,Nyelv!E123)</f>
        <v>07. Egyéb szolgáltatások értéke</v>
      </c>
      <c r="C23" s="466"/>
      <c r="D23" s="466"/>
      <c r="E23" s="308">
        <f>Adatbevitel!C125</f>
        <v>501732</v>
      </c>
      <c r="F23" s="308">
        <f>Adatbevitel!D125</f>
        <v>0</v>
      </c>
      <c r="G23" s="309">
        <f>Adatbevitel!E125</f>
        <v>368271</v>
      </c>
    </row>
    <row r="24" spans="1:8" s="307" customFormat="1" ht="17.100000000000001" customHeight="1">
      <c r="A24" s="304" t="s">
        <v>361</v>
      </c>
      <c r="B24" s="466" t="str">
        <f>CHOOSE(Beszámoló!$F$2,Nyelv!B124,Nyelv!C124,Nyelv!D124,Nyelv!E124)</f>
        <v>08. Eladott áruk beszerzési értéke</v>
      </c>
      <c r="C24" s="466"/>
      <c r="D24" s="466"/>
      <c r="E24" s="308">
        <f>Adatbevitel!C126</f>
        <v>80390799</v>
      </c>
      <c r="F24" s="308">
        <f>Adatbevitel!D126</f>
        <v>0</v>
      </c>
      <c r="G24" s="309">
        <f>Adatbevitel!E126</f>
        <v>49539147</v>
      </c>
    </row>
    <row r="25" spans="1:8" s="307" customFormat="1" ht="17.100000000000001" customHeight="1">
      <c r="A25" s="289" t="s">
        <v>362</v>
      </c>
      <c r="B25" s="466" t="str">
        <f>CHOOSE(Beszámoló!$F$2,Nyelv!B125,Nyelv!C125,Nyelv!D125,Nyelv!E125)</f>
        <v>09. Eladott (közvetített) szolgáltatások értéke</v>
      </c>
      <c r="C25" s="466"/>
      <c r="D25" s="466"/>
      <c r="E25" s="308">
        <f>Adatbevitel!C127</f>
        <v>1088472</v>
      </c>
      <c r="F25" s="308">
        <f>Adatbevitel!D127</f>
        <v>0</v>
      </c>
      <c r="G25" s="309">
        <f>Adatbevitel!E127</f>
        <v>495229</v>
      </c>
    </row>
    <row r="26" spans="1:8" s="307" customFormat="1" ht="17.100000000000001" customHeight="1">
      <c r="A26" s="304" t="s">
        <v>363</v>
      </c>
      <c r="B26" s="470" t="str">
        <f>CHOOSE(Beszámoló!$F$2,Nyelv!B126,Nyelv!C126,Nyelv!D126,Nyelv!E126)</f>
        <v>IV. ANYAGJELLEGŰ RÁFORDÍTÁSOK  (05+06+07+08+09)</v>
      </c>
      <c r="C26" s="470"/>
      <c r="D26" s="470"/>
      <c r="E26" s="291">
        <f>Adatbevitel!C128</f>
        <v>89169677</v>
      </c>
      <c r="F26" s="291">
        <f>Adatbevitel!D128</f>
        <v>0</v>
      </c>
      <c r="G26" s="292">
        <f>Adatbevitel!E128</f>
        <v>55017559</v>
      </c>
      <c r="H26" s="310"/>
    </row>
    <row r="27" spans="1:8" s="307" customFormat="1" ht="17.100000000000001" customHeight="1">
      <c r="A27" s="289" t="s">
        <v>364</v>
      </c>
      <c r="B27" s="466" t="str">
        <f>CHOOSE(Beszámoló!$F$2,Nyelv!B127,Nyelv!C127,Nyelv!D127,Nyelv!E127)</f>
        <v>10. Bérköltség</v>
      </c>
      <c r="C27" s="466"/>
      <c r="D27" s="466"/>
      <c r="E27" s="308">
        <f>Adatbevitel!C129</f>
        <v>5164473</v>
      </c>
      <c r="F27" s="308">
        <f>Adatbevitel!D129</f>
        <v>0</v>
      </c>
      <c r="G27" s="309">
        <f>Adatbevitel!E129</f>
        <v>2748219</v>
      </c>
    </row>
    <row r="28" spans="1:8" s="307" customFormat="1" ht="17.100000000000001" customHeight="1">
      <c r="A28" s="304" t="s">
        <v>365</v>
      </c>
      <c r="B28" s="466" t="str">
        <f>CHOOSE(Beszámoló!$F$2,Nyelv!B128,Nyelv!C128,Nyelv!D128,Nyelv!E128)</f>
        <v>11. Személyi jellegű egyéb kifizetések</v>
      </c>
      <c r="C28" s="466"/>
      <c r="D28" s="466"/>
      <c r="E28" s="308">
        <f>Adatbevitel!C130</f>
        <v>562877</v>
      </c>
      <c r="F28" s="308">
        <f>Adatbevitel!D130</f>
        <v>0</v>
      </c>
      <c r="G28" s="309">
        <f>Adatbevitel!E130</f>
        <v>241970</v>
      </c>
    </row>
    <row r="29" spans="1:8" s="307" customFormat="1" ht="17.100000000000001" customHeight="1">
      <c r="A29" s="289" t="s">
        <v>366</v>
      </c>
      <c r="B29" s="466" t="str">
        <f>CHOOSE(Beszámoló!$F$2,Nyelv!B129,Nyelv!C129,Nyelv!D129,Nyelv!E129)</f>
        <v>12. Bérjárulékok</v>
      </c>
      <c r="C29" s="466"/>
      <c r="D29" s="466"/>
      <c r="E29" s="308">
        <f>Adatbevitel!C131</f>
        <v>749151</v>
      </c>
      <c r="F29" s="308">
        <f>Adatbevitel!D131</f>
        <v>0</v>
      </c>
      <c r="G29" s="309">
        <f>Adatbevitel!E131</f>
        <v>302460</v>
      </c>
    </row>
    <row r="30" spans="1:8" s="307" customFormat="1" ht="17.100000000000001" customHeight="1">
      <c r="A30" s="304" t="s">
        <v>367</v>
      </c>
      <c r="B30" s="470" t="str">
        <f>CHOOSE(Beszámoló!$F$2,Nyelv!B130,Nyelv!C130,Nyelv!D130,Nyelv!E130)</f>
        <v>V. SZEMÉLYI JELLEGŰ RÁFORDÍTÁSOK (10+11+12)</v>
      </c>
      <c r="C30" s="470"/>
      <c r="D30" s="470"/>
      <c r="E30" s="291">
        <f>Adatbevitel!C132</f>
        <v>6476501</v>
      </c>
      <c r="F30" s="291">
        <f>Adatbevitel!D132</f>
        <v>0</v>
      </c>
      <c r="G30" s="292">
        <f>Adatbevitel!E132</f>
        <v>3292649</v>
      </c>
    </row>
    <row r="31" spans="1:8" s="307" customFormat="1" ht="17.100000000000001" customHeight="1">
      <c r="A31" s="289" t="s">
        <v>460</v>
      </c>
      <c r="B31" s="470" t="str">
        <f>CHOOSE(Beszámoló!$F$2,Nyelv!B131,Nyelv!C131,Nyelv!D131,Nyelv!E131)</f>
        <v>VI. ÉRTÉKCSÖKKENÉSI LEÍRÁS</v>
      </c>
      <c r="C31" s="470"/>
      <c r="D31" s="470"/>
      <c r="E31" s="291">
        <f>Adatbevitel!C133</f>
        <v>1045248</v>
      </c>
      <c r="F31" s="291">
        <f>Adatbevitel!D133</f>
        <v>0</v>
      </c>
      <c r="G31" s="292">
        <f>Adatbevitel!E133</f>
        <v>648901</v>
      </c>
    </row>
    <row r="32" spans="1:8" s="307" customFormat="1" ht="17.100000000000001" customHeight="1">
      <c r="A32" s="304" t="s">
        <v>461</v>
      </c>
      <c r="B32" s="470" t="str">
        <f>CHOOSE(Beszámoló!$F$2,Nyelv!B132,Nyelv!C132,Nyelv!D132,Nyelv!E132)</f>
        <v>VII. EGYÉB RÁFORDÍTÁSOK</v>
      </c>
      <c r="C32" s="470"/>
      <c r="D32" s="470"/>
      <c r="E32" s="291">
        <f>Adatbevitel!C134</f>
        <v>2192994</v>
      </c>
      <c r="F32" s="291">
        <f>Adatbevitel!D134</f>
        <v>0</v>
      </c>
      <c r="G32" s="292">
        <f>Adatbevitel!E134</f>
        <v>818629</v>
      </c>
    </row>
    <row r="33" spans="1:9" s="307" customFormat="1" ht="17.100000000000001" customHeight="1">
      <c r="A33" s="289" t="s">
        <v>462</v>
      </c>
      <c r="B33" s="466" t="str">
        <f>CHOOSE(Beszámoló!$F$2,Nyelv!B133,Nyelv!C133,Nyelv!D133,Nyelv!E133)</f>
        <v>Ebből: értékvesztés</v>
      </c>
      <c r="C33" s="466"/>
      <c r="D33" s="466"/>
      <c r="E33" s="308">
        <f>Adatbevitel!C135</f>
        <v>249462</v>
      </c>
      <c r="F33" s="308">
        <f>Adatbevitel!D135</f>
        <v>0</v>
      </c>
      <c r="G33" s="308">
        <f>Adatbevitel!E135</f>
        <v>0</v>
      </c>
    </row>
    <row r="34" spans="1:9" s="307" customFormat="1" ht="25.5" customHeight="1">
      <c r="A34" s="304" t="s">
        <v>368</v>
      </c>
      <c r="B34" s="476" t="str">
        <f>CHOOSE(Beszámoló!$F$2,Nyelv!B134,Nyelv!C134,Nyelv!D134,Nyelv!E134)</f>
        <v>A. ÜZEMI (ÜZLETI) TEVÉKENYSÉG EREDMÉNYE  (I+II+III-IV-V-VI-VII)</v>
      </c>
      <c r="C34" s="476"/>
      <c r="D34" s="476"/>
      <c r="E34" s="294">
        <f>Adatbevitel!C136</f>
        <v>2050539</v>
      </c>
      <c r="F34" s="294">
        <f>Adatbevitel!D136</f>
        <v>0</v>
      </c>
      <c r="G34" s="295">
        <f>Adatbevitel!E136</f>
        <v>1718116</v>
      </c>
    </row>
    <row r="35" spans="1:9" s="307" customFormat="1" ht="12.75" customHeight="1">
      <c r="A35" s="311"/>
      <c r="B35" s="312"/>
      <c r="C35" s="313"/>
      <c r="D35" s="313"/>
      <c r="E35" s="314"/>
      <c r="F35" s="314"/>
      <c r="G35" s="314"/>
    </row>
    <row r="36" spans="1:9" ht="12.75" customHeight="1">
      <c r="A36" s="315"/>
      <c r="B36" s="282"/>
      <c r="C36" s="282"/>
      <c r="D36" s="316"/>
    </row>
    <row r="37" spans="1:9" ht="12.75" customHeight="1">
      <c r="A37" s="317" t="str">
        <f xml:space="preserve"> Alapadatok!E12</f>
        <v>Veszprém, 2023. január 30</v>
      </c>
      <c r="B37" s="317"/>
      <c r="C37" s="317"/>
      <c r="D37" s="277"/>
      <c r="E37" s="318"/>
      <c r="F37" s="277"/>
      <c r="G37" s="277"/>
    </row>
    <row r="38" spans="1:9" ht="12.75" customHeight="1">
      <c r="A38" s="277"/>
      <c r="B38" s="277"/>
      <c r="C38" s="277"/>
      <c r="D38" s="277"/>
      <c r="E38" s="471" t="str">
        <f>IF(Beszámoló!$F$2=1,Nyelv_old!$E$7,IF(Beszámoló!$F$2=2,Nyelv_old!$F$7,IF(Beszámoló!$F$2=3,Nyelv_old!$G$7,Nyelv_old!$H$7)))</f>
        <v>a vállalkozás vezetője</v>
      </c>
      <c r="F38" s="471"/>
      <c r="G38" s="471"/>
    </row>
    <row r="39" spans="1:9" ht="12.75" customHeight="1">
      <c r="A39" s="277"/>
      <c r="B39" s="277"/>
      <c r="C39" s="277"/>
      <c r="D39" s="277"/>
      <c r="E39" s="472" t="str">
        <f>IF(Beszámoló!$F$2=1,Nyelv_old!$E$8,IF(Beszámoló!$F$2=2,Nyelv_old!$F$8,IF(Beszámoló!$F$2=3,Nyelv_old!$G$8,Nyelv_old!$H$8)))</f>
        <v>(képviselője)</v>
      </c>
      <c r="F39" s="472"/>
      <c r="G39" s="472"/>
    </row>
    <row r="40" spans="1:9" ht="15" customHeight="1">
      <c r="E40" s="319"/>
      <c r="F40" s="320"/>
      <c r="G40" s="320"/>
    </row>
    <row r="41" spans="1:9" ht="15" customHeight="1">
      <c r="E41" s="320"/>
      <c r="F41" s="320"/>
      <c r="G41" s="320"/>
    </row>
    <row r="42" spans="1:9" ht="12.75" customHeight="1">
      <c r="A42" s="463"/>
      <c r="B42" s="463"/>
      <c r="C42" s="278"/>
      <c r="D42" s="464"/>
      <c r="E42" s="464"/>
      <c r="F42" s="464"/>
      <c r="G42" s="464"/>
      <c r="I42" s="296"/>
    </row>
    <row r="43" spans="1:9" ht="12.75" customHeight="1">
      <c r="A43" s="463"/>
      <c r="B43" s="463"/>
      <c r="C43" s="282"/>
      <c r="D43" s="464"/>
      <c r="E43" s="464"/>
      <c r="F43" s="464"/>
      <c r="G43" s="464"/>
      <c r="I43" s="287"/>
    </row>
    <row r="44" spans="1:9" ht="12.75" customHeight="1">
      <c r="A44" s="277"/>
    </row>
    <row r="45" spans="1:9" ht="12.75" customHeight="1">
      <c r="A45" s="463" t="str">
        <f>Alapadatok!$E$9</f>
        <v>VÖRÖSKŐ KFT.</v>
      </c>
      <c r="B45" s="463"/>
      <c r="C45" s="276"/>
      <c r="D45" s="276"/>
      <c r="F45" s="465"/>
      <c r="G45" s="465"/>
    </row>
    <row r="46" spans="1:9" ht="12.75" customHeight="1">
      <c r="A46" s="276"/>
      <c r="B46" s="276"/>
      <c r="C46" s="276"/>
      <c r="D46" s="276"/>
      <c r="G46" s="284"/>
    </row>
    <row r="47" spans="1:9" ht="15" customHeight="1">
      <c r="A47" s="461" t="str">
        <f>IF(Beszámoló!$F$2=1,Nyelv_old!$E$23,IF(Beszámoló!$F$2=2,Nyelv_old!$F$23,IF(Beszámoló!$F$2=3,Nyelv_old!$G$23,Nyelv_old!$H$23)))</f>
        <v>Eredménykimutatás</v>
      </c>
      <c r="B47" s="461"/>
      <c r="C47" s="461"/>
      <c r="D47" s="461"/>
      <c r="E47" s="461"/>
      <c r="F47" s="461"/>
      <c r="G47" s="461"/>
    </row>
    <row r="48" spans="1:9" ht="15" customHeight="1">
      <c r="A48" s="461" t="str">
        <f>IF(Beszámoló!$F$2=1,Nyelv_old!$E$24,IF(Beszámoló!$F$2=2,Nyelv_old!$F$24,IF(Beszámoló!$F$2=3,Nyelv_old!$G$24,Nyelv_old!$H$24)))</f>
        <v>(Összköltség eljárással)</v>
      </c>
      <c r="B48" s="461"/>
      <c r="C48" s="461"/>
      <c r="D48" s="461"/>
      <c r="E48" s="461"/>
      <c r="F48" s="461"/>
      <c r="G48" s="461"/>
    </row>
    <row r="49" spans="1:7" ht="15" customHeight="1">
      <c r="A49" s="462" t="s">
        <v>463</v>
      </c>
      <c r="B49" s="462"/>
      <c r="C49" s="462"/>
      <c r="D49" s="462"/>
      <c r="E49" s="462"/>
      <c r="F49" s="462"/>
      <c r="G49" s="462"/>
    </row>
    <row r="50" spans="1:7" ht="12.75" customHeight="1">
      <c r="A50" s="484"/>
      <c r="B50" s="484"/>
      <c r="C50" s="297"/>
      <c r="D50" s="297"/>
      <c r="E50" s="297"/>
      <c r="F50" s="297"/>
      <c r="G50" s="297"/>
    </row>
    <row r="51" spans="1:7" ht="12.75" customHeight="1">
      <c r="A51" s="279"/>
      <c r="B51" s="280"/>
      <c r="C51" s="279"/>
      <c r="D51" s="279"/>
      <c r="E51" s="279"/>
      <c r="F51" s="467" t="str">
        <f>IF(Beszámoló!$F$2=1,Nyelv_old!$E$16,IF(Beszámoló!$F$2=2,Nyelv_old!$F$16,IF(Beszámoló!$F$2=3,Nyelv_old!$G$16,Nyelv_old!$H$16)))</f>
        <v>adatok E Ft-ban</v>
      </c>
      <c r="G51" s="467"/>
    </row>
    <row r="52" spans="1:7" ht="36.75" customHeight="1">
      <c r="A52" s="288" t="str">
        <f>IF(Beszámoló!$F$2=1,Nyelv_old!$E$17,IF(Beszámoló!$F$2=2,Nyelv_old!$F$17,IF(Beszámoló!$F$2=3,Nyelv_old!$G$17,Nyelv_old!$H$17)))</f>
        <v>Sorszám</v>
      </c>
      <c r="B52" s="468" t="str">
        <f>IF(Beszámoló!$F$2=1,Nyelv_old!$E$18,IF(Beszámoló!$F$2=2,Nyelv_old!$F$18,IF(Beszámoló!$F$2=3,Nyelv_old!$G$18,Nyelv_old!$H$18)))</f>
        <v>A tétel megnevezése</v>
      </c>
      <c r="C52" s="468"/>
      <c r="D52" s="468"/>
      <c r="E52" s="447">
        <v>44742</v>
      </c>
      <c r="F52" s="449" t="s">
        <v>1123</v>
      </c>
      <c r="G52" s="448">
        <v>44926</v>
      </c>
    </row>
    <row r="53" spans="1:7" ht="12" customHeight="1">
      <c r="A53" s="298" t="s">
        <v>345</v>
      </c>
      <c r="B53" s="469" t="s">
        <v>346</v>
      </c>
      <c r="C53" s="469"/>
      <c r="D53" s="469"/>
      <c r="E53" s="299" t="s">
        <v>347</v>
      </c>
      <c r="F53" s="299" t="s">
        <v>348</v>
      </c>
      <c r="G53" s="300" t="s">
        <v>349</v>
      </c>
    </row>
    <row r="54" spans="1:7" ht="15.95" customHeight="1">
      <c r="A54" s="321" t="s">
        <v>369</v>
      </c>
      <c r="B54" s="485" t="str">
        <f>CHOOSE(Beszámoló!$F$2,Nyelv!B135,Nyelv!C135,Nyelv!D135,Nyelv!E135)</f>
        <v>13. Kapott (járó) osztalék és részesedés</v>
      </c>
      <c r="C54" s="485"/>
      <c r="D54" s="485"/>
      <c r="E54" s="308">
        <f>Adatbevitel!C137</f>
        <v>0</v>
      </c>
      <c r="F54" s="308">
        <f>Adatbevitel!D137</f>
        <v>0</v>
      </c>
      <c r="G54" s="309">
        <f>Adatbevitel!E137</f>
        <v>0</v>
      </c>
    </row>
    <row r="55" spans="1:7" ht="15.95" customHeight="1">
      <c r="A55" s="304" t="s">
        <v>370</v>
      </c>
      <c r="B55" s="466" t="str">
        <f>CHOOSE(Beszámoló!$F$2,Nyelv!B136,Nyelv!C136,Nyelv!D136,Nyelv!E136)</f>
        <v>Ebből: kapcsolt vállalkozástól kapott</v>
      </c>
      <c r="C55" s="466"/>
      <c r="D55" s="466"/>
      <c r="E55" s="308">
        <f>Adatbevitel!C138</f>
        <v>0</v>
      </c>
      <c r="F55" s="308">
        <f>Adatbevitel!D138</f>
        <v>0</v>
      </c>
      <c r="G55" s="309">
        <f>Adatbevitel!E138</f>
        <v>0</v>
      </c>
    </row>
    <row r="56" spans="1:7" ht="15.95" customHeight="1">
      <c r="A56" s="322" t="s">
        <v>371</v>
      </c>
      <c r="B56" s="475" t="str">
        <f>CHOOSE(Beszámoló!$F$2,Nyelv!B137,Nyelv!C137,Nyelv!D137,Nyelv!E137)</f>
        <v>14. Részesedésekből származó bevételek, árfolyamnyereségek</v>
      </c>
      <c r="C56" s="475"/>
      <c r="D56" s="475"/>
      <c r="E56" s="308">
        <f>Adatbevitel!C139</f>
        <v>0</v>
      </c>
      <c r="F56" s="308">
        <f>Adatbevitel!D139</f>
        <v>0</v>
      </c>
      <c r="G56" s="309">
        <f>Adatbevitel!E139</f>
        <v>0</v>
      </c>
    </row>
    <row r="57" spans="1:7" ht="15.95" customHeight="1">
      <c r="A57" s="304" t="s">
        <v>372</v>
      </c>
      <c r="B57" s="466" t="str">
        <f>CHOOSE(Beszámoló!$F$2,Nyelv!B138,Nyelv!C138,Nyelv!D138,Nyelv!E138)</f>
        <v>Ebből: kapcsolt vállalkozástól kapott</v>
      </c>
      <c r="C57" s="466"/>
      <c r="D57" s="466"/>
      <c r="E57" s="308">
        <f>Adatbevitel!C140</f>
        <v>0</v>
      </c>
      <c r="F57" s="308">
        <f>Adatbevitel!D140</f>
        <v>0</v>
      </c>
      <c r="G57" s="309">
        <f>Adatbevitel!E140</f>
        <v>0</v>
      </c>
    </row>
    <row r="58" spans="1:7" ht="23.25" customHeight="1">
      <c r="A58" s="322" t="s">
        <v>373</v>
      </c>
      <c r="B58" s="475" t="str">
        <f>CHOOSE(Beszámoló!$F$2,Nyelv!B139,Nyelv!C139,Nyelv!D139,Nyelv!E139)</f>
        <v>15. Befektetett pénzügyi eszközökből (értékpapírokból, kölcsönökből) származó bevételek, árfolyamnyereségek</v>
      </c>
      <c r="C58" s="475"/>
      <c r="D58" s="475"/>
      <c r="E58" s="308">
        <f>Adatbevitel!C141</f>
        <v>0</v>
      </c>
      <c r="F58" s="308">
        <f>Adatbevitel!D141</f>
        <v>0</v>
      </c>
      <c r="G58" s="309">
        <f>Adatbevitel!E141</f>
        <v>0</v>
      </c>
    </row>
    <row r="59" spans="1:7" ht="15.95" customHeight="1">
      <c r="A59" s="304" t="s">
        <v>374</v>
      </c>
      <c r="B59" s="466" t="str">
        <f>CHOOSE(Beszámoló!$F$2,Nyelv!B140,Nyelv!C140,Nyelv!D140,Nyelv!E140)</f>
        <v>Ebből: kapcsolt vállalkozástól kapott</v>
      </c>
      <c r="C59" s="466"/>
      <c r="D59" s="466"/>
      <c r="E59" s="308">
        <f>Adatbevitel!C142</f>
        <v>0</v>
      </c>
      <c r="F59" s="308">
        <f>Adatbevitel!D142</f>
        <v>0</v>
      </c>
      <c r="G59" s="309">
        <f>Adatbevitel!E142</f>
        <v>0</v>
      </c>
    </row>
    <row r="60" spans="1:7" ht="14.1" customHeight="1">
      <c r="A60" s="322" t="s">
        <v>376</v>
      </c>
      <c r="B60" s="475" t="str">
        <f>CHOOSE(Beszámoló!$F$2,Nyelv!B141,Nyelv!C141,Nyelv!D141,Nyelv!E141)</f>
        <v>16. Egyéb kapott (járó) kamatok és kamatjellegű bevételek</v>
      </c>
      <c r="C60" s="475"/>
      <c r="D60" s="475"/>
      <c r="E60" s="308">
        <f>Adatbevitel!C143</f>
        <v>84074</v>
      </c>
      <c r="F60" s="308">
        <f>Adatbevitel!D143</f>
        <v>0</v>
      </c>
      <c r="G60" s="309">
        <f>Adatbevitel!E143</f>
        <v>195685</v>
      </c>
    </row>
    <row r="61" spans="1:7" ht="15.95" customHeight="1">
      <c r="A61" s="304" t="s">
        <v>377</v>
      </c>
      <c r="B61" s="466" t="str">
        <f>CHOOSE(Beszámoló!$F$2,Nyelv!B142,Nyelv!C142,Nyelv!D142,Nyelv!E142)</f>
        <v>Ebből: kapcsolt vállalkozástól kapott</v>
      </c>
      <c r="C61" s="466"/>
      <c r="D61" s="466"/>
      <c r="E61" s="308">
        <f>Adatbevitel!C144</f>
        <v>2000</v>
      </c>
      <c r="F61" s="308">
        <f>Adatbevitel!D144</f>
        <v>0</v>
      </c>
      <c r="G61" s="309">
        <f>Adatbevitel!E144</f>
        <v>92</v>
      </c>
    </row>
    <row r="62" spans="1:7" ht="15.95" customHeight="1">
      <c r="A62" s="322" t="s">
        <v>378</v>
      </c>
      <c r="B62" s="475" t="str">
        <f>CHOOSE(Beszámoló!$F$2,Nyelv!B143,Nyelv!C143,Nyelv!D143,Nyelv!E143)</f>
        <v>17. Pénzügyi műveletek egyéb bevételei</v>
      </c>
      <c r="C62" s="475"/>
      <c r="D62" s="475"/>
      <c r="E62" s="308">
        <f>Adatbevitel!C145</f>
        <v>269560</v>
      </c>
      <c r="F62" s="308">
        <f>Adatbevitel!D145</f>
        <v>0</v>
      </c>
      <c r="G62" s="309">
        <f>Adatbevitel!E145</f>
        <v>68852</v>
      </c>
    </row>
    <row r="63" spans="1:7" ht="15.95" customHeight="1">
      <c r="A63" s="304" t="s">
        <v>379</v>
      </c>
      <c r="B63" s="466" t="str">
        <f>CHOOSE(Beszámoló!$F$2,Nyelv!B144,Nyelv!C144,Nyelv!D144,Nyelv!E144)</f>
        <v>Ebből: értékelési különbözet</v>
      </c>
      <c r="C63" s="466"/>
      <c r="D63" s="466"/>
      <c r="E63" s="308">
        <f>Adatbevitel!C146</f>
        <v>0</v>
      </c>
      <c r="F63" s="308">
        <f>Adatbevitel!D146</f>
        <v>0</v>
      </c>
      <c r="G63" s="309">
        <f>Adatbevitel!E146</f>
        <v>0</v>
      </c>
    </row>
    <row r="64" spans="1:7" ht="15.95" customHeight="1">
      <c r="A64" s="322" t="s">
        <v>380</v>
      </c>
      <c r="B64" s="326" t="str">
        <f>CHOOSE(Beszámoló!$F$2,Nyelv!B145,Nyelv!C145,Nyelv!D145,Nyelv!E145)</f>
        <v>VIII. PÉNZÜGYI MÜVELETEK BEVÉTELEI (13+14+15+16+17)</v>
      </c>
      <c r="C64" s="326"/>
      <c r="D64" s="326"/>
      <c r="E64" s="291">
        <f>Adatbevitel!C147</f>
        <v>353634</v>
      </c>
      <c r="F64" s="291">
        <f>Adatbevitel!D147</f>
        <v>0</v>
      </c>
      <c r="G64" s="292">
        <f>Adatbevitel!E147</f>
        <v>264537</v>
      </c>
    </row>
    <row r="65" spans="1:7">
      <c r="A65" s="304" t="s">
        <v>381</v>
      </c>
      <c r="B65" s="328" t="str">
        <f>CHOOSE(Beszámoló!$F$2,Nyelv!B146,Nyelv!C146,Nyelv!D146,Nyelv!E146)</f>
        <v>18. Részesedésekből származó ráfordítások, árfolyamveszteségek</v>
      </c>
      <c r="C65" s="327"/>
      <c r="D65" s="329"/>
      <c r="E65" s="308">
        <f>Adatbevitel!C148</f>
        <v>0</v>
      </c>
      <c r="F65" s="308">
        <f>Adatbevitel!D148</f>
        <v>0</v>
      </c>
      <c r="G65" s="309">
        <f>Adatbevitel!E148</f>
        <v>0</v>
      </c>
    </row>
    <row r="66" spans="1:7" ht="15.95" customHeight="1">
      <c r="A66" s="322" t="s">
        <v>382</v>
      </c>
      <c r="B66" s="475" t="str">
        <f>CHOOSE(Beszámoló!$F$2,Nyelv!B147,Nyelv!C147,Nyelv!D147,Nyelv!E147)</f>
        <v>Ebből: kapcsolt vállalkozásnak adott</v>
      </c>
      <c r="C66" s="475"/>
      <c r="D66" s="475"/>
      <c r="E66" s="308">
        <f>Adatbevitel!C149</f>
        <v>0</v>
      </c>
      <c r="F66" s="308">
        <f>Adatbevitel!D149</f>
        <v>0</v>
      </c>
      <c r="G66" s="309">
        <f>Adatbevitel!E149</f>
        <v>0</v>
      </c>
    </row>
    <row r="67" spans="1:7" ht="24" customHeight="1">
      <c r="A67" s="304" t="s">
        <v>383</v>
      </c>
      <c r="B67" s="466" t="str">
        <f>CHOOSE(Beszámoló!$F$2,Nyelv!B148,Nyelv!C148,Nyelv!D148,Nyelv!E148)</f>
        <v>19. Befektetett pénzügyi eszközökből (értékpapírokból, kölcsönökből) származó ráfordítások, árfolyamveszteségek</v>
      </c>
      <c r="C67" s="466"/>
      <c r="D67" s="466"/>
      <c r="E67" s="308">
        <f>Adatbevitel!C150</f>
        <v>0</v>
      </c>
      <c r="F67" s="308">
        <f>Adatbevitel!D150</f>
        <v>0</v>
      </c>
      <c r="G67" s="309">
        <f>Adatbevitel!E150</f>
        <v>0</v>
      </c>
    </row>
    <row r="68" spans="1:7" ht="15.95" customHeight="1">
      <c r="A68" s="322" t="s">
        <v>384</v>
      </c>
      <c r="B68" s="475" t="str">
        <f>CHOOSE(Beszámoló!$F$2,Nyelv!B149,Nyelv!C149,Nyelv!D149,Nyelv!E149)</f>
        <v>Ebből: kapcsolt vállalkozásnak adott</v>
      </c>
      <c r="C68" s="475"/>
      <c r="D68" s="475"/>
      <c r="E68" s="308">
        <f>Adatbevitel!C151</f>
        <v>0</v>
      </c>
      <c r="F68" s="308">
        <f>Adatbevitel!D151</f>
        <v>0</v>
      </c>
      <c r="G68" s="309">
        <f>Adatbevitel!E151</f>
        <v>0</v>
      </c>
    </row>
    <row r="69" spans="1:7" ht="15.95" customHeight="1">
      <c r="A69" s="304" t="s">
        <v>385</v>
      </c>
      <c r="B69" s="466" t="str">
        <f>CHOOSE(Beszámoló!$F$2,Nyelv!B150,Nyelv!C150,Nyelv!D150,Nyelv!E150)</f>
        <v>20. Fizetendő (fizetett) kamatok és kamatjellegű ráfordítások</v>
      </c>
      <c r="C69" s="466"/>
      <c r="D69" s="466"/>
      <c r="E69" s="308">
        <f>Adatbevitel!C152</f>
        <v>150556</v>
      </c>
      <c r="F69" s="308">
        <f>Adatbevitel!D152</f>
        <v>0</v>
      </c>
      <c r="G69" s="309">
        <f>Adatbevitel!E152</f>
        <v>180815</v>
      </c>
    </row>
    <row r="70" spans="1:7" ht="15.95" customHeight="1">
      <c r="A70" s="322" t="s">
        <v>386</v>
      </c>
      <c r="B70" s="475" t="str">
        <f>CHOOSE(Beszámoló!$F$2,Nyelv!B151,Nyelv!C151,Nyelv!D151,Nyelv!E151)</f>
        <v>Ebből: kapcsolt vállalkozásnak adott</v>
      </c>
      <c r="C70" s="475"/>
      <c r="D70" s="475"/>
      <c r="E70" s="308">
        <f>Adatbevitel!C153</f>
        <v>0</v>
      </c>
      <c r="F70" s="308">
        <f>Adatbevitel!D153</f>
        <v>0</v>
      </c>
      <c r="G70" s="309">
        <f>Adatbevitel!E153</f>
        <v>0</v>
      </c>
    </row>
    <row r="71" spans="1:7" ht="15.95" customHeight="1">
      <c r="A71" s="304" t="s">
        <v>387</v>
      </c>
      <c r="B71" s="466" t="str">
        <f>CHOOSE(Beszámoló!$F$2,Nyelv!B152,Nyelv!C152,Nyelv!D152,Nyelv!E152)</f>
        <v>21. Részesedések, értékpapírok, bankbetétek értékvesztése</v>
      </c>
      <c r="C71" s="466"/>
      <c r="D71" s="466"/>
      <c r="E71" s="308">
        <f>Adatbevitel!C154</f>
        <v>0</v>
      </c>
      <c r="F71" s="308">
        <f>Adatbevitel!D154</f>
        <v>0</v>
      </c>
      <c r="G71" s="309">
        <f>Adatbevitel!E154</f>
        <v>0</v>
      </c>
    </row>
    <row r="72" spans="1:7" ht="15.95" customHeight="1">
      <c r="A72" s="322" t="s">
        <v>388</v>
      </c>
      <c r="B72" s="475" t="str">
        <f>CHOOSE(Beszámoló!$F$2,Nyelv!B153,Nyelv!C153,Nyelv!D153,Nyelv!E153)</f>
        <v>22. Pénzügyi műveletek egyéb ráfordításai</v>
      </c>
      <c r="C72" s="475"/>
      <c r="D72" s="475"/>
      <c r="E72" s="308">
        <f>Adatbevitel!C155</f>
        <v>79488</v>
      </c>
      <c r="F72" s="308">
        <f>Adatbevitel!D155</f>
        <v>0</v>
      </c>
      <c r="G72" s="309">
        <f>Adatbevitel!E155</f>
        <v>25091</v>
      </c>
    </row>
    <row r="73" spans="1:7" ht="15.95" customHeight="1">
      <c r="A73" s="304" t="s">
        <v>389</v>
      </c>
      <c r="B73" s="466" t="str">
        <f>CHOOSE(Beszámoló!$F$2,Nyelv!B154,Nyelv!C154,Nyelv!D154,Nyelv!E154)</f>
        <v>Ebből: értékelési különbözet</v>
      </c>
      <c r="C73" s="466"/>
      <c r="D73" s="466"/>
      <c r="E73" s="308">
        <f>Adatbevitel!C156</f>
        <v>0</v>
      </c>
      <c r="F73" s="308">
        <f>Adatbevitel!D156</f>
        <v>0</v>
      </c>
      <c r="G73" s="309">
        <f>Adatbevitel!E156</f>
        <v>0</v>
      </c>
    </row>
    <row r="74" spans="1:7" ht="26.1" customHeight="1">
      <c r="A74" s="322" t="s">
        <v>390</v>
      </c>
      <c r="B74" s="486" t="str">
        <f>CHOOSE(Beszámoló!$F$2,Nyelv!B155,Nyelv!C155,Nyelv!D155,Nyelv!E155)</f>
        <v>IX. PÉNZÜGYI MŰVELETEK RÁFORDÍTÁSAI  (18+19+20+21+22)</v>
      </c>
      <c r="C74" s="487"/>
      <c r="D74" s="488"/>
      <c r="E74" s="291">
        <f>Adatbevitel!C157</f>
        <v>230044</v>
      </c>
      <c r="F74" s="291">
        <f>Adatbevitel!D157</f>
        <v>0</v>
      </c>
      <c r="G74" s="292">
        <f>Adatbevitel!E157</f>
        <v>205906</v>
      </c>
    </row>
    <row r="75" spans="1:7" ht="15.95" customHeight="1">
      <c r="A75" s="304" t="s">
        <v>391</v>
      </c>
      <c r="B75" s="470" t="str">
        <f>CHOOSE(Beszámoló!$F$2,Nyelv!B156,Nyelv!C156,Nyelv!D156,Nyelv!E156)</f>
        <v>B. PÉNZÜGYI MŰVELETEK EREDMÉNYE (VIII-IX)</v>
      </c>
      <c r="C75" s="470"/>
      <c r="D75" s="470"/>
      <c r="E75" s="291">
        <f>Adatbevitel!C158</f>
        <v>123590</v>
      </c>
      <c r="F75" s="291">
        <f>Adatbevitel!D158</f>
        <v>0</v>
      </c>
      <c r="G75" s="292">
        <f>Adatbevitel!E158</f>
        <v>58631</v>
      </c>
    </row>
    <row r="76" spans="1:7" ht="15.95" customHeight="1">
      <c r="A76" s="322" t="s">
        <v>392</v>
      </c>
      <c r="B76" s="489" t="str">
        <f>CHOOSE(Beszámoló!$F$2,Nyelv!B157,Nyelv!C157,Nyelv!D157,Nyelv!E157)</f>
        <v>C. ADÓZÁS ELŐTTI EREDMÉNY (±A±B)</v>
      </c>
      <c r="C76" s="489"/>
      <c r="D76" s="489"/>
      <c r="E76" s="291">
        <f>Adatbevitel!C159</f>
        <v>2174129</v>
      </c>
      <c r="F76" s="291">
        <f>Adatbevitel!D159</f>
        <v>0</v>
      </c>
      <c r="G76" s="292">
        <f>Adatbevitel!E159</f>
        <v>1776747</v>
      </c>
    </row>
    <row r="77" spans="1:7" ht="15.95" customHeight="1">
      <c r="A77" s="304" t="s">
        <v>393</v>
      </c>
      <c r="B77" s="466" t="str">
        <f>CHOOSE(Beszámoló!$F$2,Nyelv!B158,Nyelv!C158,Nyelv!D158,Nyelv!E158)</f>
        <v>X. Adófizetési kötelezettség</v>
      </c>
      <c r="C77" s="466"/>
      <c r="D77" s="466"/>
      <c r="E77" s="308">
        <f>Adatbevitel!C160</f>
        <v>145623</v>
      </c>
      <c r="F77" s="308">
        <f>Adatbevitel!D160</f>
        <v>0</v>
      </c>
      <c r="G77" s="309">
        <f>Adatbevitel!E160</f>
        <v>75806</v>
      </c>
    </row>
    <row r="78" spans="1:7" ht="15.95" customHeight="1">
      <c r="A78" s="323" t="s">
        <v>394</v>
      </c>
      <c r="B78" s="482" t="str">
        <f>CHOOSE(Beszámoló!$F$2,Nyelv!B159,Nyelv!C159,Nyelv!D159,Nyelv!E159)</f>
        <v>D. ADÓZOTT EREDMÉNY (±C-X)</v>
      </c>
      <c r="C78" s="482"/>
      <c r="D78" s="482"/>
      <c r="E78" s="294">
        <f>Adatbevitel!C161</f>
        <v>2028506</v>
      </c>
      <c r="F78" s="294">
        <f>Adatbevitel!D161</f>
        <v>0</v>
      </c>
      <c r="G78" s="295">
        <f>Adatbevitel!E161</f>
        <v>1700941</v>
      </c>
    </row>
    <row r="79" spans="1:7" s="307" customFormat="1" ht="12.75" customHeight="1">
      <c r="A79" s="313"/>
      <c r="B79" s="316"/>
      <c r="C79" s="316"/>
      <c r="D79" s="281"/>
      <c r="E79" s="324"/>
      <c r="F79" s="325"/>
      <c r="G79" s="324"/>
    </row>
    <row r="80" spans="1:7" s="307" customFormat="1" ht="12.75" customHeight="1">
      <c r="A80" s="317"/>
      <c r="B80" s="317"/>
      <c r="C80" s="317"/>
      <c r="D80" s="283"/>
      <c r="E80" s="283"/>
      <c r="F80" s="283"/>
      <c r="G80" s="283"/>
    </row>
    <row r="81" spans="1:7" s="307" customFormat="1" ht="12.75" customHeight="1">
      <c r="A81" s="317" t="str">
        <f xml:space="preserve"> Alapadatok!E12</f>
        <v>Veszprém, 2023. január 30</v>
      </c>
      <c r="B81" s="317"/>
      <c r="C81" s="317"/>
      <c r="D81" s="277"/>
      <c r="E81" s="318"/>
      <c r="F81" s="277"/>
      <c r="G81" s="277"/>
    </row>
    <row r="82" spans="1:7" s="307" customFormat="1" ht="12.75" customHeight="1">
      <c r="A82" s="277"/>
      <c r="B82" s="277"/>
      <c r="C82" s="277"/>
      <c r="D82" s="277"/>
      <c r="E82" s="471" t="str">
        <f>IF(Beszámoló!$F$2=1,Nyelv_old!$E$7,IF(Beszámoló!$F$2=2,Nyelv_old!$F$7,IF(Beszámoló!$F$2=3,Nyelv_old!$G$7,Nyelv_old!$H$7)))</f>
        <v>a vállalkozás vezetője</v>
      </c>
      <c r="F82" s="471"/>
      <c r="G82" s="471"/>
    </row>
    <row r="83" spans="1:7" s="307" customFormat="1" ht="12.75" customHeight="1">
      <c r="A83" s="277"/>
      <c r="B83" s="277"/>
      <c r="C83" s="277"/>
      <c r="D83" s="277"/>
      <c r="E83" s="472" t="str">
        <f>IF(Beszámoló!$F$2=1,Nyelv_old!$E$8,IF(Beszámoló!$F$2=2,Nyelv_old!$F$8,IF(Beszámoló!$F$2=3,Nyelv_old!$G$8,Nyelv_old!$H$8)))</f>
        <v>(képviselője)</v>
      </c>
      <c r="F83" s="472"/>
      <c r="G83" s="472"/>
    </row>
    <row r="84" spans="1:7" ht="15" customHeight="1"/>
    <row r="86" spans="1:7" ht="15.95" customHeight="1"/>
    <row r="87" spans="1:7" ht="15.95" customHeight="1"/>
    <row r="88" spans="1:7" ht="21" customHeight="1"/>
    <row r="89" spans="1:7" ht="21" customHeight="1"/>
    <row r="90" spans="1:7" ht="21" customHeight="1"/>
    <row r="91" spans="1:7" ht="21" customHeight="1"/>
    <row r="92" spans="1:7" ht="21" customHeight="1"/>
    <row r="93" spans="1:7" ht="21" customHeight="1"/>
    <row r="94" spans="1:7" ht="21" customHeight="1"/>
    <row r="95" spans="1:7" ht="21" customHeight="1"/>
  </sheetData>
  <sheetProtection selectLockedCells="1" selectUnlockedCells="1"/>
  <mergeCells count="73">
    <mergeCell ref="E83:G83"/>
    <mergeCell ref="B72:D72"/>
    <mergeCell ref="B73:D73"/>
    <mergeCell ref="B74:D74"/>
    <mergeCell ref="B75:D75"/>
    <mergeCell ref="B76:D76"/>
    <mergeCell ref="B77:D77"/>
    <mergeCell ref="E82:G82"/>
    <mergeCell ref="B68:D68"/>
    <mergeCell ref="B69:D69"/>
    <mergeCell ref="B70:D70"/>
    <mergeCell ref="B71:D71"/>
    <mergeCell ref="B78:D78"/>
    <mergeCell ref="B67:D67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6:D66"/>
    <mergeCell ref="B53:D53"/>
    <mergeCell ref="A42:B42"/>
    <mergeCell ref="D42:G43"/>
    <mergeCell ref="A43:B43"/>
    <mergeCell ref="A45:B45"/>
    <mergeCell ref="F45:G45"/>
    <mergeCell ref="A47:G47"/>
    <mergeCell ref="A48:G48"/>
    <mergeCell ref="A49:G49"/>
    <mergeCell ref="A50:B50"/>
    <mergeCell ref="F51:G51"/>
    <mergeCell ref="B52:D52"/>
    <mergeCell ref="E39:G39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E38:G38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B1"/>
    <mergeCell ref="D1:G2"/>
    <mergeCell ref="A2:B2"/>
    <mergeCell ref="A4:B4"/>
    <mergeCell ref="F4:G4"/>
    <mergeCell ref="A6:G6"/>
    <mergeCell ref="A7:G7"/>
    <mergeCell ref="A8:G8"/>
    <mergeCell ref="A9:B9"/>
    <mergeCell ref="F10:G10"/>
    <mergeCell ref="B11:D11"/>
  </mergeCells>
  <hyperlinks>
    <hyperlink ref="I2" location="Beszámoló!A1" display="Vissza a beszámolóhoz" xr:uid="{00000000-0004-0000-0700-000000000000}"/>
  </hyperlinks>
  <pageMargins left="0.78749999999999998" right="0.78749999999999998" top="0.59027777777777779" bottom="0.59027777777777779" header="0.51180555555555551" footer="0.51180555555555551"/>
  <pageSetup paperSize="9" scale="99" firstPageNumber="0" orientation="portrait" r:id="rId1"/>
  <headerFooter alignWithMargins="0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9">
    <tabColor rgb="FFA9D08E"/>
  </sheetPr>
  <dimension ref="A1:K80"/>
  <sheetViews>
    <sheetView workbookViewId="0">
      <selection sqref="A1:B1"/>
    </sheetView>
  </sheetViews>
  <sheetFormatPr defaultColWidth="8.88671875" defaultRowHeight="15"/>
  <cols>
    <col min="1" max="1" width="5.77734375" customWidth="1"/>
    <col min="2" max="2" width="28.77734375" customWidth="1"/>
    <col min="3" max="3" width="3.33203125" customWidth="1"/>
    <col min="4" max="7" width="8.33203125" customWidth="1"/>
  </cols>
  <sheetData>
    <row r="1" spans="1:11" ht="12.75" customHeight="1">
      <c r="A1" s="491" t="str">
        <f>CONCATENATE(" Statisztikai számjel: ",Alapadatok!$E$6)</f>
        <v xml:space="preserve"> Statisztikai számjel: 10233342-4754-113-19</v>
      </c>
      <c r="B1" s="491"/>
      <c r="C1" s="73"/>
      <c r="D1" s="492"/>
      <c r="E1" s="492"/>
      <c r="F1" s="492"/>
      <c r="G1" s="492"/>
      <c r="I1" s="208" t="s">
        <v>336</v>
      </c>
      <c r="J1" s="206"/>
      <c r="K1" s="206"/>
    </row>
    <row r="2" spans="1:11" ht="12.75" customHeight="1">
      <c r="A2" s="491" t="str">
        <f>CONCATENATE(" Cégjegyzék szám: ",Alapadatok!$E$7)</f>
        <v xml:space="preserve"> Cégjegyzék szám: 19-09-513341</v>
      </c>
      <c r="B2" s="491"/>
      <c r="C2" s="74"/>
      <c r="D2" s="492"/>
      <c r="E2" s="492"/>
      <c r="F2" s="492"/>
      <c r="G2" s="492"/>
      <c r="I2" s="245"/>
      <c r="J2" s="206"/>
      <c r="K2" s="206"/>
    </row>
    <row r="3" spans="1:11" ht="12.75" customHeight="1">
      <c r="A3" s="75"/>
      <c r="B3" s="76"/>
      <c r="C3" s="76"/>
      <c r="D3" s="76"/>
      <c r="E3" s="76"/>
      <c r="F3" s="76"/>
      <c r="G3" s="76"/>
    </row>
    <row r="4" spans="1:11" ht="12.75" customHeight="1">
      <c r="A4" s="491" t="str">
        <f>Alapadatok!$E$9</f>
        <v>VÖRÖSKŐ KFT.</v>
      </c>
      <c r="B4" s="491"/>
      <c r="C4" s="72"/>
      <c r="D4" s="72"/>
      <c r="E4" s="76"/>
      <c r="F4" s="493"/>
      <c r="G4" s="493"/>
    </row>
    <row r="5" spans="1:11" ht="12.75" customHeight="1">
      <c r="A5" s="72"/>
      <c r="B5" s="72"/>
      <c r="C5" s="72"/>
      <c r="D5" s="72"/>
      <c r="E5" s="76"/>
      <c r="F5" s="76"/>
      <c r="G5" s="77"/>
    </row>
    <row r="6" spans="1:11" ht="15" customHeight="1">
      <c r="A6" s="490" t="str">
        <f>IF(Beszámoló!$F$2=1,Nyelv_old!$E$23,IF(Beszámoló!$F$2=2,Nyelv_old!$F$23,IF(Beszámoló!$F$2=3,Nyelv_old!$G$23,Nyelv_old!$H$23)))</f>
        <v>Eredménykimutatás</v>
      </c>
      <c r="B6" s="490"/>
      <c r="C6" s="490"/>
      <c r="D6" s="490"/>
      <c r="E6" s="490"/>
      <c r="F6" s="490"/>
      <c r="G6" s="490"/>
    </row>
    <row r="7" spans="1:11" ht="15" customHeight="1">
      <c r="A7" s="495" t="s">
        <v>464</v>
      </c>
      <c r="B7" s="495"/>
      <c r="C7" s="495"/>
      <c r="D7" s="495"/>
      <c r="E7" s="495"/>
      <c r="F7" s="495"/>
      <c r="G7" s="495"/>
    </row>
    <row r="8" spans="1:11" ht="15" customHeight="1">
      <c r="A8" s="496" t="s">
        <v>465</v>
      </c>
      <c r="B8" s="496"/>
      <c r="C8" s="496"/>
      <c r="D8" s="496"/>
      <c r="E8" s="496"/>
      <c r="F8" s="496"/>
      <c r="G8" s="496"/>
    </row>
    <row r="9" spans="1:11" ht="12.75" customHeight="1">
      <c r="A9" s="497"/>
      <c r="B9" s="497"/>
      <c r="C9" s="68"/>
      <c r="D9" s="68"/>
      <c r="E9" s="68"/>
      <c r="F9" s="68"/>
      <c r="G9" s="68"/>
    </row>
    <row r="10" spans="1:11" ht="12.75" customHeight="1">
      <c r="A10" s="53"/>
      <c r="B10" s="54"/>
      <c r="C10" s="53"/>
      <c r="D10" s="53"/>
      <c r="E10" s="53"/>
      <c r="F10" s="498" t="str">
        <f>IF(Beszámoló!$F$2=1,Nyelv_old!$E$16,IF(Beszámoló!$F$2=2,Nyelv_old!$F$16,IF(Beszámoló!$F$2=3,Nyelv_old!$G$16,Nyelv_old!$H$16)))</f>
        <v>adatok E Ft-ban</v>
      </c>
      <c r="G10" s="498"/>
    </row>
    <row r="11" spans="1:11" ht="36.75" customHeight="1">
      <c r="A11" s="55" t="str">
        <f>IF(Beszámoló!$F$2=1,Nyelv_old!$E$17,IF(Beszámoló!$F$2=2,Nyelv_old!$F$17,IF(Beszámoló!$F$2=3,Nyelv_old!$G$17,Nyelv_old!$H$17)))</f>
        <v>Sorszám</v>
      </c>
      <c r="B11" s="499" t="str">
        <f>IF(Beszámoló!$F$2=1,Nyelv_old!$E$18,IF(Beszámoló!$F$2=2,Nyelv_old!$F$18,IF(Beszámoló!$F$2=3,Nyelv_old!$G$18,Nyelv_old!$H$18)))</f>
        <v>A tétel megnevezése</v>
      </c>
      <c r="C11" s="499"/>
      <c r="D11" s="499"/>
      <c r="E11" s="56" t="str">
        <f>IF(Beszámoló!$F$2=1,Nyelv_old!$E$19,IF(Beszámoló!$F$2=2,Nyelv_old!$F$19,IF(Beszámoló!$F$2=3,Nyelv_old!$G$19,Nyelv_old!$H$19)))</f>
        <v>Előző év</v>
      </c>
      <c r="F11" s="66" t="str">
        <f>IF(Beszámoló!$F$2=1,Nyelv_old!$E$20,IF(Beszámoló!$F$2=2,Nyelv_old!$F$20,IF(Beszámoló!$F$2=3,Nyelv_old!$G$20,Nyelv_old!$H$20)))</f>
        <v>Előző év(ek) módosításai</v>
      </c>
      <c r="G11" s="58" t="str">
        <f>IF(Beszámoló!$F$2=1,Nyelv_old!$E$21,IF(Beszámoló!$F$2=2,Nyelv_old!$F$21,IF(Beszámoló!$F$2=3,Nyelv_old!$G$21,Nyelv_old!$H$21)))</f>
        <v>Tárgyév</v>
      </c>
    </row>
    <row r="12" spans="1:11" ht="12" customHeight="1">
      <c r="A12" s="59" t="s">
        <v>345</v>
      </c>
      <c r="B12" s="500" t="s">
        <v>346</v>
      </c>
      <c r="C12" s="500"/>
      <c r="D12" s="500"/>
      <c r="E12" s="60" t="s">
        <v>347</v>
      </c>
      <c r="F12" s="60" t="s">
        <v>348</v>
      </c>
      <c r="G12" s="62" t="s">
        <v>349</v>
      </c>
    </row>
    <row r="13" spans="1:11" ht="18.95" customHeight="1">
      <c r="A13" s="78" t="s">
        <v>350</v>
      </c>
      <c r="B13" s="501" t="str">
        <f>CHOOSE(Beszámoló!$F$2,Nyelv!B162,Nyelv!C162,Nyelv!D162,Nyelv!E162)</f>
        <v>01. Belföldi értékesítés nettó árbevétele</v>
      </c>
      <c r="C13" s="501"/>
      <c r="D13" s="501"/>
      <c r="E13" s="243">
        <f>Adatbevitel!C165</f>
        <v>88680583</v>
      </c>
      <c r="F13" s="243">
        <f>Adatbevitel!D165</f>
        <v>0</v>
      </c>
      <c r="G13" s="244">
        <f>Adatbevitel!E165</f>
        <v>54494502</v>
      </c>
    </row>
    <row r="14" spans="1:11" ht="18.95" customHeight="1">
      <c r="A14" s="63" t="s">
        <v>351</v>
      </c>
      <c r="B14" s="494" t="str">
        <f>CHOOSE(Beszámoló!$F$2,Nyelv!B163,Nyelv!C163,Nyelv!D163,Nyelv!E163)</f>
        <v>02. Exportértékesítés nettó árbevétele</v>
      </c>
      <c r="C14" s="494"/>
      <c r="D14" s="494"/>
      <c r="E14" s="239">
        <f>Adatbevitel!C166</f>
        <v>0</v>
      </c>
      <c r="F14" s="239">
        <f>Adatbevitel!D166</f>
        <v>0</v>
      </c>
      <c r="G14" s="240">
        <f>Adatbevitel!E166</f>
        <v>0</v>
      </c>
    </row>
    <row r="15" spans="1:11" ht="18.95" customHeight="1">
      <c r="A15" s="63" t="s">
        <v>352</v>
      </c>
      <c r="B15" s="502" t="str">
        <f>CHOOSE(Beszámoló!$F$2,Nyelv!B164,Nyelv!C164,Nyelv!D164,Nyelv!E164)</f>
        <v>I. ÉRTÉKESÍTÉS NETTÓ ÁRBEVÉTELE (01+02)</v>
      </c>
      <c r="C15" s="502"/>
      <c r="D15" s="502"/>
      <c r="E15" s="225">
        <f>Adatbevitel!C167</f>
        <v>88680583</v>
      </c>
      <c r="F15" s="225">
        <f>Adatbevitel!D167</f>
        <v>0</v>
      </c>
      <c r="G15" s="226">
        <f>Adatbevitel!E167</f>
        <v>54494502</v>
      </c>
    </row>
    <row r="16" spans="1:11" ht="18.95" customHeight="1">
      <c r="A16" s="63" t="s">
        <v>353</v>
      </c>
      <c r="B16" s="494" t="str">
        <f>CHOOSE(Beszámoló!$F$2,Nyelv!B165,Nyelv!C165,Nyelv!D165,Nyelv!E165)</f>
        <v>03. Értékesítés elszámolt közvetlen önköltsége</v>
      </c>
      <c r="C16" s="494"/>
      <c r="D16" s="494"/>
      <c r="E16" s="239">
        <f>Adatbevitel!C168</f>
        <v>0</v>
      </c>
      <c r="F16" s="239">
        <f>Adatbevitel!D168</f>
        <v>0</v>
      </c>
      <c r="G16" s="240">
        <f>Adatbevitel!E168</f>
        <v>0</v>
      </c>
    </row>
    <row r="17" spans="1:7" ht="18.95" customHeight="1">
      <c r="A17" s="63" t="s">
        <v>354</v>
      </c>
      <c r="B17" s="494" t="str">
        <f>CHOOSE(Beszámoló!$F$2,Nyelv!B166,Nyelv!C166,Nyelv!D166,Nyelv!E166)</f>
        <v>04. Eladott áruk beszerzési értéke</v>
      </c>
      <c r="C17" s="494"/>
      <c r="D17" s="494"/>
      <c r="E17" s="239">
        <f>Adatbevitel!C169</f>
        <v>80390799</v>
      </c>
      <c r="F17" s="239">
        <f>Adatbevitel!D169</f>
        <v>0</v>
      </c>
      <c r="G17" s="240">
        <f>Adatbevitel!E169</f>
        <v>49539147</v>
      </c>
    </row>
    <row r="18" spans="1:7" ht="18.95" customHeight="1">
      <c r="A18" s="63" t="s">
        <v>355</v>
      </c>
      <c r="B18" s="494" t="str">
        <f>CHOOSE(Beszámoló!$F$2,Nyelv!B167,Nyelv!C167,Nyelv!D167,Nyelv!E167)</f>
        <v>05. Eladott (közvetített) szolgáltatások értéke</v>
      </c>
      <c r="C18" s="494"/>
      <c r="D18" s="494"/>
      <c r="E18" s="239">
        <f>Adatbevitel!C170</f>
        <v>1088472</v>
      </c>
      <c r="F18" s="239">
        <f>Adatbevitel!D170</f>
        <v>0</v>
      </c>
      <c r="G18" s="240">
        <f>Adatbevitel!E170</f>
        <v>495229</v>
      </c>
    </row>
    <row r="19" spans="1:7" ht="18.95" customHeight="1">
      <c r="A19" s="63" t="s">
        <v>356</v>
      </c>
      <c r="B19" s="502" t="str">
        <f>CHOOSE(Beszámoló!$F$2,Nyelv!B168,Nyelv!C168,Nyelv!D168,Nyelv!E168)</f>
        <v>II. ÉRTÉKESÍTÉS KÖZVETLEN KÖLTSÉGEI  (03+04+05)</v>
      </c>
      <c r="C19" s="502"/>
      <c r="D19" s="502"/>
      <c r="E19" s="225">
        <f>Adatbevitel!C171</f>
        <v>81479271</v>
      </c>
      <c r="F19" s="225">
        <f>Adatbevitel!D171</f>
        <v>0</v>
      </c>
      <c r="G19" s="226">
        <f>Adatbevitel!E171</f>
        <v>50034376</v>
      </c>
    </row>
    <row r="20" spans="1:7" ht="18.95" customHeight="1">
      <c r="A20" s="63" t="s">
        <v>357</v>
      </c>
      <c r="B20" s="502" t="str">
        <f>CHOOSE(Beszámoló!$F$2,Nyelv!B169,Nyelv!C169,Nyelv!D169,Nyelv!E169)</f>
        <v>III. ÉRTÉKESÍTÉS BRUTTÓ EREDMÉNYE (I-II)</v>
      </c>
      <c r="C20" s="502"/>
      <c r="D20" s="502"/>
      <c r="E20" s="225">
        <f>Adatbevitel!C172</f>
        <v>7201312</v>
      </c>
      <c r="F20" s="225">
        <f>Adatbevitel!D172</f>
        <v>0</v>
      </c>
      <c r="G20" s="226">
        <f>Adatbevitel!E172</f>
        <v>4460126</v>
      </c>
    </row>
    <row r="21" spans="1:7" ht="18.95" customHeight="1">
      <c r="A21" s="63" t="s">
        <v>358</v>
      </c>
      <c r="B21" s="494" t="str">
        <f>CHOOSE(Beszámoló!$F$2,Nyelv!B170,Nyelv!C170,Nyelv!D170,Nyelv!E170)</f>
        <v>06. Értékesítési, forgalmazási költségek</v>
      </c>
      <c r="C21" s="494"/>
      <c r="D21" s="494"/>
      <c r="E21" s="239">
        <f>Adatbevitel!C173</f>
        <v>0</v>
      </c>
      <c r="F21" s="239">
        <f>Adatbevitel!D173</f>
        <v>0</v>
      </c>
      <c r="G21" s="240">
        <f>Adatbevitel!E173</f>
        <v>0</v>
      </c>
    </row>
    <row r="22" spans="1:7" ht="18.95" customHeight="1">
      <c r="A22" s="63" t="s">
        <v>359</v>
      </c>
      <c r="B22" s="494" t="str">
        <f>CHOOSE(Beszámoló!$F$2,Nyelv!B171,Nyelv!C171,Nyelv!D171,Nyelv!E171)</f>
        <v>07. Igazgatási költségek</v>
      </c>
      <c r="C22" s="494"/>
      <c r="D22" s="494"/>
      <c r="E22" s="239">
        <f>Adatbevitel!C174</f>
        <v>0</v>
      </c>
      <c r="F22" s="239">
        <f>Adatbevitel!D174</f>
        <v>0</v>
      </c>
      <c r="G22" s="240">
        <f>Adatbevitel!E174</f>
        <v>0</v>
      </c>
    </row>
    <row r="23" spans="1:7" ht="18.95" customHeight="1">
      <c r="A23" s="63" t="s">
        <v>360</v>
      </c>
      <c r="B23" s="494" t="str">
        <f>CHOOSE(Beszámoló!$F$2,Nyelv!B172,Nyelv!C172,Nyelv!D172,Nyelv!E172)</f>
        <v>08. Egyéb általános költségek</v>
      </c>
      <c r="C23" s="494"/>
      <c r="D23" s="494"/>
      <c r="E23" s="239">
        <f>Adatbevitel!C175</f>
        <v>10070851</v>
      </c>
      <c r="F23" s="239">
        <f>Adatbevitel!D175</f>
        <v>0</v>
      </c>
      <c r="G23" s="240">
        <f>Adatbevitel!E175</f>
        <v>10070851</v>
      </c>
    </row>
    <row r="24" spans="1:7" ht="18.95" customHeight="1">
      <c r="A24" s="63" t="s">
        <v>361</v>
      </c>
      <c r="B24" s="502" t="str">
        <f>CHOOSE(Beszámoló!$F$2,Nyelv!B173,Nyelv!C173,Nyelv!D173,Nyelv!E173)</f>
        <v>IV. ÉRTÉKESÍTÉS KÖZVETETT KÖLTSÉGEI (06+07+08)</v>
      </c>
      <c r="C24" s="502"/>
      <c r="D24" s="502"/>
      <c r="E24" s="225">
        <f>Adatbevitel!C176</f>
        <v>10070851</v>
      </c>
      <c r="F24" s="225">
        <f>Adatbevitel!D176</f>
        <v>0</v>
      </c>
      <c r="G24" s="226">
        <f>Adatbevitel!E176</f>
        <v>10070851</v>
      </c>
    </row>
    <row r="25" spans="1:7" ht="18.95" customHeight="1">
      <c r="A25" s="63" t="s">
        <v>362</v>
      </c>
      <c r="B25" s="502" t="str">
        <f>CHOOSE(Beszámoló!$F$2,Nyelv!B174,Nyelv!C174,Nyelv!D174,Nyelv!E174)</f>
        <v>V. EGYÉB BEVÉTELEK</v>
      </c>
      <c r="C25" s="502"/>
      <c r="D25" s="502"/>
      <c r="E25" s="225">
        <f>Adatbevitel!C177</f>
        <v>12254376</v>
      </c>
      <c r="F25" s="225">
        <f>Adatbevitel!D177</f>
        <v>0</v>
      </c>
      <c r="G25" s="226">
        <f>Adatbevitel!E177</f>
        <v>7001352</v>
      </c>
    </row>
    <row r="26" spans="1:7" ht="18.95" customHeight="1">
      <c r="A26" s="63" t="s">
        <v>363</v>
      </c>
      <c r="B26" s="494" t="str">
        <f>CHOOSE(Beszámoló!$F$2,Nyelv!B175,Nyelv!C175,Nyelv!D175,Nyelv!E175)</f>
        <v>Ebből: visszaírt értékvesztés</v>
      </c>
      <c r="C26" s="494"/>
      <c r="D26" s="494"/>
      <c r="E26" s="239">
        <f>Adatbevitel!C178</f>
        <v>328045</v>
      </c>
      <c r="F26" s="239">
        <f>Adatbevitel!D178</f>
        <v>0</v>
      </c>
      <c r="G26" s="240">
        <f>Adatbevitel!E178</f>
        <v>0</v>
      </c>
    </row>
    <row r="27" spans="1:7" ht="18.95" customHeight="1">
      <c r="A27" s="63" t="s">
        <v>364</v>
      </c>
      <c r="B27" s="502" t="str">
        <f>CHOOSE(Beszámoló!$F$2,Nyelv!B176,Nyelv!C176,Nyelv!D176,Nyelv!E176)</f>
        <v>VI. EGYÉB RÁFORDÍTÁSOK</v>
      </c>
      <c r="C27" s="502"/>
      <c r="D27" s="502"/>
      <c r="E27" s="225">
        <f>Adatbevitel!C179</f>
        <v>2192994</v>
      </c>
      <c r="F27" s="225">
        <f>Adatbevitel!D179</f>
        <v>0</v>
      </c>
      <c r="G27" s="226">
        <f>Adatbevitel!E179</f>
        <v>818629</v>
      </c>
    </row>
    <row r="28" spans="1:7" ht="18.95" customHeight="1">
      <c r="A28" s="63" t="s">
        <v>365</v>
      </c>
      <c r="B28" s="494" t="str">
        <f>CHOOSE(Beszámoló!$F$2,Nyelv!B177,Nyelv!C177,Nyelv!D177,Nyelv!E177)</f>
        <v>Ebből: értékvesztés</v>
      </c>
      <c r="C28" s="494"/>
      <c r="D28" s="494"/>
      <c r="E28" s="239">
        <f>Adatbevitel!C180</f>
        <v>249462</v>
      </c>
      <c r="F28" s="239">
        <f>Adatbevitel!D180</f>
        <v>0</v>
      </c>
      <c r="G28" s="240">
        <f>Adatbevitel!E180</f>
        <v>0</v>
      </c>
    </row>
    <row r="29" spans="1:7" ht="18.95" customHeight="1">
      <c r="A29" s="63" t="s">
        <v>366</v>
      </c>
      <c r="B29" s="504" t="str">
        <f>CHOOSE(Beszámoló!$F$2,Nyelv!B178,Nyelv!C178,Nyelv!D178,Nyelv!E178)</f>
        <v>A. ÜZEMI (ÜZLETI) TEVÉKENYSÉG EREDMÉNYE (±III-IV+V-VI)</v>
      </c>
      <c r="C29" s="504"/>
      <c r="D29" s="504"/>
      <c r="E29" s="227">
        <f>Adatbevitel!C181</f>
        <v>7191843</v>
      </c>
      <c r="F29" s="227">
        <f>Adatbevitel!D181</f>
        <v>0</v>
      </c>
      <c r="G29" s="228">
        <f>Adatbevitel!E181</f>
        <v>571998</v>
      </c>
    </row>
    <row r="30" spans="1:7" ht="12.75" customHeight="1">
      <c r="A30" s="79"/>
      <c r="B30" s="80"/>
      <c r="C30" s="80"/>
      <c r="D30" s="81"/>
      <c r="E30" s="67"/>
      <c r="F30" s="67"/>
      <c r="G30" s="67"/>
    </row>
    <row r="31" spans="1:7" ht="12.75" customHeight="1">
      <c r="A31" s="79"/>
      <c r="B31" s="80"/>
      <c r="C31" s="80"/>
      <c r="D31" s="81"/>
      <c r="E31" s="67"/>
      <c r="F31" s="67"/>
      <c r="G31" s="67"/>
    </row>
    <row r="32" spans="1:7" ht="12.75" customHeight="1">
      <c r="A32" s="64" t="str">
        <f xml:space="preserve"> Alapadatok!E12</f>
        <v>Veszprém, 2023. január 30</v>
      </c>
      <c r="B32" s="64"/>
      <c r="C32" s="64"/>
      <c r="D32" s="64"/>
      <c r="E32" s="64"/>
      <c r="F32" s="64"/>
      <c r="G32" s="64"/>
    </row>
    <row r="33" spans="1:9" ht="12.75" customHeight="1">
      <c r="A33" s="64"/>
      <c r="B33" s="64"/>
      <c r="C33" s="64"/>
      <c r="D33" s="64"/>
      <c r="E33" s="503" t="str">
        <f>IF(Beszámoló!$F$2=1,Nyelv_old!$E$7,IF(Beszámoló!$F$2=2,Nyelv_old!$F$7,IF(Beszámoló!$F$2=3,Nyelv_old!$G$7,Nyelv_old!$H$7)))</f>
        <v>a vállalkozás vezetője</v>
      </c>
      <c r="F33" s="503"/>
      <c r="G33" s="503"/>
    </row>
    <row r="34" spans="1:9" ht="12.75" customHeight="1">
      <c r="A34" s="64"/>
      <c r="B34" s="64"/>
      <c r="C34" s="64"/>
      <c r="D34" s="64"/>
      <c r="E34" s="505" t="str">
        <f>IF(Beszámoló!$F$2=1,Nyelv_old!$E$8,IF(Beszámoló!$F$2=2,Nyelv_old!$F$8,IF(Beszámoló!$F$2=3,Nyelv_old!$G$8,Nyelv_old!$H$8)))</f>
        <v>(képviselője)</v>
      </c>
      <c r="F34" s="505"/>
      <c r="G34" s="505"/>
    </row>
    <row r="35" spans="1:9" ht="15" customHeight="1">
      <c r="A35" s="82"/>
      <c r="B35" s="82"/>
      <c r="C35" s="82"/>
      <c r="D35" s="64"/>
      <c r="E35" s="83"/>
      <c r="F35" s="83"/>
      <c r="G35" s="83"/>
    </row>
    <row r="36" spans="1:9">
      <c r="A36" s="64"/>
      <c r="B36" s="64"/>
      <c r="C36" s="64"/>
      <c r="D36" s="64"/>
      <c r="E36" s="64"/>
      <c r="F36" s="64"/>
      <c r="G36" s="64"/>
    </row>
    <row r="37" spans="1:9">
      <c r="A37" s="64"/>
      <c r="B37" s="64"/>
      <c r="C37" s="64"/>
      <c r="D37" s="64"/>
      <c r="E37" s="64"/>
      <c r="F37" s="64"/>
      <c r="G37" s="64"/>
    </row>
    <row r="38" spans="1:9" ht="12.75" customHeight="1">
      <c r="A38" s="506"/>
      <c r="B38" s="506"/>
      <c r="C38" s="65"/>
      <c r="D38" s="507"/>
      <c r="E38" s="507"/>
      <c r="F38" s="507"/>
      <c r="G38" s="507"/>
      <c r="I38" s="51"/>
    </row>
    <row r="39" spans="1:9" ht="12.75" customHeight="1">
      <c r="A39" s="506"/>
      <c r="B39" s="506"/>
      <c r="C39" s="45"/>
      <c r="D39" s="507"/>
      <c r="E39" s="507"/>
      <c r="F39" s="507"/>
      <c r="G39" s="507"/>
      <c r="I39" s="35"/>
    </row>
    <row r="40" spans="1:9" ht="12.75" customHeight="1">
      <c r="A40" s="11"/>
    </row>
    <row r="41" spans="1:9" ht="12.75" customHeight="1">
      <c r="A41" s="506" t="str">
        <f>Alapadatok!$E$9</f>
        <v>VÖRÖSKŐ KFT.</v>
      </c>
      <c r="B41" s="506"/>
      <c r="C41" s="10"/>
      <c r="D41" s="10"/>
      <c r="F41" s="493"/>
      <c r="G41" s="493"/>
    </row>
    <row r="42" spans="1:9" ht="12.75" customHeight="1">
      <c r="A42" s="10"/>
      <c r="B42" s="10"/>
      <c r="C42" s="10"/>
      <c r="D42" s="10"/>
      <c r="G42" s="52"/>
    </row>
    <row r="43" spans="1:9" ht="15" customHeight="1">
      <c r="A43" s="490" t="str">
        <f>IF(Beszámoló!$F$2=1,Nyelv_old!$E$23,IF(Beszámoló!$F$2=2,Nyelv_old!$F$23,IF(Beszámoló!$F$2=3,Nyelv_old!$G$23,Nyelv_old!$H$23)))</f>
        <v>Eredménykimutatás</v>
      </c>
      <c r="B43" s="490"/>
      <c r="C43" s="490"/>
      <c r="D43" s="490"/>
      <c r="E43" s="490"/>
      <c r="F43" s="490"/>
      <c r="G43" s="490"/>
    </row>
    <row r="44" spans="1:9" ht="15" customHeight="1">
      <c r="A44" s="490" t="s">
        <v>464</v>
      </c>
      <c r="B44" s="490"/>
      <c r="C44" s="490"/>
      <c r="D44" s="490"/>
      <c r="E44" s="490"/>
      <c r="F44" s="490"/>
      <c r="G44" s="490"/>
    </row>
    <row r="45" spans="1:9" ht="15" customHeight="1">
      <c r="A45" s="496" t="s">
        <v>466</v>
      </c>
      <c r="B45" s="496"/>
      <c r="C45" s="496"/>
      <c r="D45" s="496"/>
      <c r="E45" s="496"/>
      <c r="F45" s="496"/>
      <c r="G45" s="496"/>
    </row>
    <row r="46" spans="1:9" ht="12.75" customHeight="1">
      <c r="A46" s="497"/>
      <c r="B46" s="497"/>
      <c r="C46" s="68"/>
      <c r="D46" s="68"/>
      <c r="E46" s="68"/>
      <c r="F46" s="68"/>
      <c r="G46" s="68"/>
    </row>
    <row r="47" spans="1:9" ht="12.75" customHeight="1">
      <c r="A47" s="53"/>
      <c r="B47" s="54"/>
      <c r="C47" s="53"/>
      <c r="D47" s="53"/>
      <c r="E47" s="53"/>
      <c r="F47" s="498" t="str">
        <f>IF(Beszámoló!$F$2=1,Nyelv_old!$E$16,IF(Beszámoló!$F$2=2,Nyelv_old!$F$16,IF(Beszámoló!$F$2=3,Nyelv_old!$G$16,Nyelv_old!$H$16)))</f>
        <v>adatok E Ft-ban</v>
      </c>
      <c r="G47" s="498"/>
    </row>
    <row r="48" spans="1:9" ht="36.75" customHeight="1">
      <c r="A48" s="55" t="str">
        <f>IF(Beszámoló!$F$2=1,Nyelv_old!$E$17,IF(Beszámoló!$F$2=2,Nyelv_old!$F$17,IF(Beszámoló!$F$2=3,Nyelv_old!$G$17,Nyelv_old!$H$17)))</f>
        <v>Sorszám</v>
      </c>
      <c r="B48" s="499" t="str">
        <f>IF(Beszámoló!$F$2=1,Nyelv_old!$E$18,IF(Beszámoló!$F$2=2,Nyelv_old!$F$18,IF(Beszámoló!$F$2=3,Nyelv_old!$G$18,Nyelv_old!$H$18)))</f>
        <v>A tétel megnevezése</v>
      </c>
      <c r="C48" s="499"/>
      <c r="D48" s="499"/>
      <c r="E48" s="56" t="str">
        <f>IF(Beszámoló!$F$2=1,Nyelv_old!$E$19,IF(Beszámoló!$F$2=2,Nyelv_old!$F$19,IF(Beszámoló!$F$2=3,Nyelv_old!$G$19,Nyelv_old!$H$19)))</f>
        <v>Előző év</v>
      </c>
      <c r="F48" s="66" t="str">
        <f>IF(Beszámoló!$F$2=1,Nyelv_old!$E$20,IF(Beszámoló!$F$2=2,Nyelv_old!$F$20,IF(Beszámoló!$F$2=3,Nyelv_old!$G$20,Nyelv_old!$H$20)))</f>
        <v>Előző év(ek) módosításai</v>
      </c>
      <c r="G48" s="58" t="str">
        <f>IF(Beszámoló!$F$2=1,Nyelv_old!$E$21,IF(Beszámoló!$F$2=2,Nyelv_old!$F$21,IF(Beszámoló!$F$2=3,Nyelv_old!$G$21,Nyelv_old!$H$21)))</f>
        <v>Tárgyév</v>
      </c>
    </row>
    <row r="49" spans="1:7" ht="12" customHeight="1">
      <c r="A49" s="59" t="s">
        <v>345</v>
      </c>
      <c r="B49" s="500" t="s">
        <v>346</v>
      </c>
      <c r="C49" s="500"/>
      <c r="D49" s="500"/>
      <c r="E49" s="60" t="s">
        <v>347</v>
      </c>
      <c r="F49" s="60" t="s">
        <v>348</v>
      </c>
      <c r="G49" s="62" t="s">
        <v>349</v>
      </c>
    </row>
    <row r="50" spans="1:7" ht="17.100000000000001" customHeight="1">
      <c r="A50" s="84" t="s">
        <v>367</v>
      </c>
      <c r="B50" s="501" t="str">
        <f>CHOOSE(Beszámoló!$F$2,Nyelv!B179,Nyelv!C179,Nyelv!D179,Nyelv!E179)</f>
        <v>09. Kapott (járó) osztalék és részesedés</v>
      </c>
      <c r="C50" s="501"/>
      <c r="D50" s="501"/>
      <c r="E50" s="241">
        <f>Adatbevitel!C182</f>
        <v>0</v>
      </c>
      <c r="F50" s="241">
        <f>Adatbevitel!D182</f>
        <v>0</v>
      </c>
      <c r="G50" s="242">
        <f>Adatbevitel!E182</f>
        <v>0</v>
      </c>
    </row>
    <row r="51" spans="1:7" ht="17.100000000000001" customHeight="1">
      <c r="A51" s="85" t="s">
        <v>460</v>
      </c>
      <c r="B51" s="508" t="str">
        <f>CHOOSE(Beszámoló!$F$2,Nyelv!B180,Nyelv!C180,Nyelv!D180,Nyelv!E180)</f>
        <v>Ebből: kapcsolt vállalkozástól kapott</v>
      </c>
      <c r="C51" s="508"/>
      <c r="D51" s="508"/>
      <c r="E51" s="241">
        <f>Adatbevitel!C183</f>
        <v>0</v>
      </c>
      <c r="F51" s="241">
        <f>Adatbevitel!D183</f>
        <v>0</v>
      </c>
      <c r="G51" s="242">
        <f>Adatbevitel!E183</f>
        <v>0</v>
      </c>
    </row>
    <row r="52" spans="1:7" ht="17.100000000000001" customHeight="1">
      <c r="A52" s="84" t="s">
        <v>461</v>
      </c>
      <c r="B52" s="494" t="str">
        <f>CHOOSE(Beszámoló!$F$2,Nyelv!B181,Nyelv!C181,Nyelv!D181,Nyelv!E181)</f>
        <v>10. Részesedésekből származó bevételek, árfolyamnyereségek</v>
      </c>
      <c r="C52" s="494"/>
      <c r="D52" s="494"/>
      <c r="E52" s="241">
        <f>Adatbevitel!C184</f>
        <v>0</v>
      </c>
      <c r="F52" s="241">
        <f>Adatbevitel!D184</f>
        <v>0</v>
      </c>
      <c r="G52" s="242">
        <f>Adatbevitel!E184</f>
        <v>0</v>
      </c>
    </row>
    <row r="53" spans="1:7" ht="17.100000000000001" customHeight="1">
      <c r="A53" s="85" t="s">
        <v>462</v>
      </c>
      <c r="B53" s="494" t="str">
        <f>CHOOSE(Beszámoló!$F$2,Nyelv!B182,Nyelv!C182,Nyelv!D182,Nyelv!E182)</f>
        <v>Ebből: kapcsolt vállalkozástól kapott</v>
      </c>
      <c r="C53" s="494"/>
      <c r="D53" s="494"/>
      <c r="E53" s="241">
        <f>Adatbevitel!C185</f>
        <v>0</v>
      </c>
      <c r="F53" s="241">
        <f>Adatbevitel!D185</f>
        <v>0</v>
      </c>
      <c r="G53" s="242">
        <f>Adatbevitel!E185</f>
        <v>0</v>
      </c>
    </row>
    <row r="54" spans="1:7" ht="17.100000000000001" customHeight="1">
      <c r="A54" s="84" t="s">
        <v>368</v>
      </c>
      <c r="B54" s="494" t="str">
        <f>CHOOSE(Beszámoló!$F$2,Nyelv!B183,Nyelv!C183,Nyelv!D183,Nyelv!E183)</f>
        <v>11. Befektetett pénzügyi eszközökből (értékpapírokból, kölcsönökből) származó bevételek, árfolyamnyereségek</v>
      </c>
      <c r="C54" s="494"/>
      <c r="D54" s="494"/>
      <c r="E54" s="241">
        <f>Adatbevitel!C186</f>
        <v>0</v>
      </c>
      <c r="F54" s="241">
        <f>Adatbevitel!D186</f>
        <v>0</v>
      </c>
      <c r="G54" s="242">
        <f>Adatbevitel!E186</f>
        <v>0</v>
      </c>
    </row>
    <row r="55" spans="1:7" ht="17.100000000000001" customHeight="1">
      <c r="A55" s="85" t="s">
        <v>369</v>
      </c>
      <c r="B55" s="494" t="str">
        <f>CHOOSE(Beszámoló!$F$2,Nyelv!B184,Nyelv!C184,Nyelv!D184,Nyelv!E184)</f>
        <v>Ebből: kapcsolt vállalkozástól kapott</v>
      </c>
      <c r="C55" s="494"/>
      <c r="D55" s="494"/>
      <c r="E55" s="241">
        <f>Adatbevitel!C187</f>
        <v>0</v>
      </c>
      <c r="F55" s="241">
        <f>Adatbevitel!D187</f>
        <v>0</v>
      </c>
      <c r="G55" s="242">
        <f>Adatbevitel!E187</f>
        <v>0</v>
      </c>
    </row>
    <row r="56" spans="1:7" ht="17.100000000000001" customHeight="1">
      <c r="A56" s="84" t="s">
        <v>370</v>
      </c>
      <c r="B56" s="494" t="str">
        <f>CHOOSE(Beszámoló!$F$2,Nyelv!B185,Nyelv!C185,Nyelv!D185,Nyelv!E185)</f>
        <v>12. Egyéb kapott (járó) kamatok és kamatjellegű bevételek</v>
      </c>
      <c r="C56" s="494"/>
      <c r="D56" s="494"/>
      <c r="E56" s="241">
        <f>Adatbevitel!C188</f>
        <v>84074</v>
      </c>
      <c r="F56" s="241">
        <f>Adatbevitel!D188</f>
        <v>0</v>
      </c>
      <c r="G56" s="242">
        <f>Adatbevitel!E188</f>
        <v>195685</v>
      </c>
    </row>
    <row r="57" spans="1:7" ht="17.100000000000001" customHeight="1">
      <c r="A57" s="85" t="s">
        <v>371</v>
      </c>
      <c r="B57" s="494" t="str">
        <f>CHOOSE(Beszámoló!$F$2,Nyelv!B186,Nyelv!C186,Nyelv!D186,Nyelv!E186)</f>
        <v>Ebből: kapcsolt vállalkozástól kapott</v>
      </c>
      <c r="C57" s="494"/>
      <c r="D57" s="494"/>
      <c r="E57" s="241">
        <f>Adatbevitel!C189</f>
        <v>2000</v>
      </c>
      <c r="F57" s="241">
        <f>Adatbevitel!D189</f>
        <v>0</v>
      </c>
      <c r="G57" s="242">
        <f>Adatbevitel!E189</f>
        <v>92</v>
      </c>
    </row>
    <row r="58" spans="1:7" ht="17.100000000000001" customHeight="1">
      <c r="A58" s="84" t="s">
        <v>372</v>
      </c>
      <c r="B58" s="494" t="str">
        <f>CHOOSE(Beszámoló!$F$2,Nyelv!B187,Nyelv!C187,Nyelv!D187,Nyelv!E187)</f>
        <v>13. Pénzügyi műveletek egyéb bevételei</v>
      </c>
      <c r="C58" s="494"/>
      <c r="D58" s="494"/>
      <c r="E58" s="241">
        <f>Adatbevitel!C190</f>
        <v>269560</v>
      </c>
      <c r="F58" s="241">
        <f>Adatbevitel!D190</f>
        <v>0</v>
      </c>
      <c r="G58" s="242">
        <f>Adatbevitel!E190</f>
        <v>68852</v>
      </c>
    </row>
    <row r="59" spans="1:7" ht="17.100000000000001" customHeight="1">
      <c r="A59" s="85" t="s">
        <v>373</v>
      </c>
      <c r="B59" s="494" t="str">
        <f>CHOOSE(Beszámoló!$F$2,Nyelv!B188,Nyelv!C188,Nyelv!D188,Nyelv!E188)</f>
        <v>Ebből: értékelési különbözet</v>
      </c>
      <c r="C59" s="494"/>
      <c r="D59" s="494"/>
      <c r="E59" s="241">
        <f>Adatbevitel!C191</f>
        <v>0</v>
      </c>
      <c r="F59" s="241">
        <f>Adatbevitel!D191</f>
        <v>0</v>
      </c>
      <c r="G59" s="242">
        <f>Adatbevitel!E191</f>
        <v>0</v>
      </c>
    </row>
    <row r="60" spans="1:7" ht="17.100000000000001" customHeight="1">
      <c r="A60" s="84" t="s">
        <v>374</v>
      </c>
      <c r="B60" s="502" t="str">
        <f>CHOOSE(Beszámoló!$F$2,Nyelv!B189,Nyelv!C189,Nyelv!D189,Nyelv!E189)</f>
        <v>VII. PÉNZÜGYI MŰVELETEK BEVÉTELEI (9+10+11+12+13)</v>
      </c>
      <c r="C60" s="502"/>
      <c r="D60" s="502"/>
      <c r="E60" s="229">
        <f>Adatbevitel!C192</f>
        <v>353634</v>
      </c>
      <c r="F60" s="229">
        <f>Adatbevitel!D192</f>
        <v>0</v>
      </c>
      <c r="G60" s="230">
        <f>Adatbevitel!E192</f>
        <v>264537</v>
      </c>
    </row>
    <row r="61" spans="1:7" ht="17.100000000000001" customHeight="1">
      <c r="A61" s="85" t="s">
        <v>376</v>
      </c>
      <c r="B61" s="494" t="str">
        <f>CHOOSE(Beszámoló!$F$2,Nyelv!B190,Nyelv!C190,Nyelv!D190,Nyelv!E190)</f>
        <v>14. Részesedésekből származó ráfordítások, árfolyamveszteségek</v>
      </c>
      <c r="C61" s="494"/>
      <c r="D61" s="494"/>
      <c r="E61" s="241">
        <f>Adatbevitel!C193</f>
        <v>0</v>
      </c>
      <c r="F61" s="241">
        <f>Adatbevitel!D193</f>
        <v>0</v>
      </c>
      <c r="G61" s="242">
        <f>Adatbevitel!E193</f>
        <v>0</v>
      </c>
    </row>
    <row r="62" spans="1:7" ht="17.100000000000001" customHeight="1">
      <c r="A62" s="84" t="s">
        <v>377</v>
      </c>
      <c r="B62" s="494" t="str">
        <f>CHOOSE(Beszámoló!$F$2,Nyelv!B191,Nyelv!C191,Nyelv!D191,Nyelv!E191)</f>
        <v>Ebből: kapcsolt vállalkozásnak adott</v>
      </c>
      <c r="C62" s="494"/>
      <c r="D62" s="494"/>
      <c r="E62" s="241">
        <f>Adatbevitel!C194</f>
        <v>0</v>
      </c>
      <c r="F62" s="241">
        <f>Adatbevitel!D194</f>
        <v>0</v>
      </c>
      <c r="G62" s="242">
        <f>Adatbevitel!E194</f>
        <v>0</v>
      </c>
    </row>
    <row r="63" spans="1:7" ht="17.100000000000001" customHeight="1">
      <c r="A63" s="85" t="s">
        <v>378</v>
      </c>
      <c r="B63" s="494" t="str">
        <f>CHOOSE(Beszámoló!$F$2,Nyelv!B192,Nyelv!C192,Nyelv!D192,Nyelv!E192)</f>
        <v>15. Befektetett pénzügyi eszközökből (értékpapírokból, kölcsönökből) származó ráfordítások, árfolyamveszteségek</v>
      </c>
      <c r="C63" s="494"/>
      <c r="D63" s="494"/>
      <c r="E63" s="241">
        <f>Adatbevitel!C195</f>
        <v>0</v>
      </c>
      <c r="F63" s="241">
        <f>Adatbevitel!D195</f>
        <v>0</v>
      </c>
      <c r="G63" s="242">
        <f>Adatbevitel!E195</f>
        <v>0</v>
      </c>
    </row>
    <row r="64" spans="1:7" ht="17.100000000000001" customHeight="1">
      <c r="A64" s="84" t="s">
        <v>379</v>
      </c>
      <c r="B64" s="494" t="str">
        <f>CHOOSE(Beszámoló!$F$2,Nyelv!B193,Nyelv!C193,Nyelv!D193,Nyelv!E193)</f>
        <v>Ebből: kapcsolt vállalkozásnak adott</v>
      </c>
      <c r="C64" s="494"/>
      <c r="D64" s="494"/>
      <c r="E64" s="241">
        <f>Adatbevitel!C196</f>
        <v>0</v>
      </c>
      <c r="F64" s="241">
        <f>Adatbevitel!D196</f>
        <v>0</v>
      </c>
      <c r="G64" s="242">
        <f>Adatbevitel!E196</f>
        <v>0</v>
      </c>
    </row>
    <row r="65" spans="1:7" ht="17.100000000000001" customHeight="1">
      <c r="A65" s="85" t="s">
        <v>380</v>
      </c>
      <c r="B65" s="509" t="str">
        <f>CHOOSE(Beszámoló!$F$2,Nyelv!B194,Nyelv!C194,Nyelv!D194,Nyelv!E194)</f>
        <v>16. Fizetendő (fizetett) kamatok és kamatjellegű ráfordítások</v>
      </c>
      <c r="C65" s="509"/>
      <c r="D65" s="509"/>
      <c r="E65" s="241">
        <f>Adatbevitel!C197</f>
        <v>150556</v>
      </c>
      <c r="F65" s="241">
        <f>Adatbevitel!D197</f>
        <v>0</v>
      </c>
      <c r="G65" s="242">
        <f>Adatbevitel!E197</f>
        <v>180815</v>
      </c>
    </row>
    <row r="66" spans="1:7" ht="17.100000000000001" customHeight="1">
      <c r="A66" s="84" t="s">
        <v>381</v>
      </c>
      <c r="B66" s="509" t="str">
        <f>CHOOSE(Beszámoló!$F$2,Nyelv!B195,Nyelv!C195,Nyelv!D195,Nyelv!E195)</f>
        <v>Ebből: kapcsolt vállalkozásnak adott</v>
      </c>
      <c r="C66" s="509"/>
      <c r="D66" s="509"/>
      <c r="E66" s="241">
        <f>Adatbevitel!C198</f>
        <v>0</v>
      </c>
      <c r="F66" s="241">
        <f>Adatbevitel!D198</f>
        <v>0</v>
      </c>
      <c r="G66" s="242">
        <f>Adatbevitel!E198</f>
        <v>0</v>
      </c>
    </row>
    <row r="67" spans="1:7" ht="17.100000000000001" customHeight="1">
      <c r="A67" s="85" t="s">
        <v>382</v>
      </c>
      <c r="B67" s="494" t="str">
        <f>CHOOSE(Beszámoló!$F$2,Nyelv!B196,Nyelv!C196,Nyelv!D196,Nyelv!E196)</f>
        <v>17. Részesedések, értékpapírok, bankbetétek értékvesztése</v>
      </c>
      <c r="C67" s="494"/>
      <c r="D67" s="494"/>
      <c r="E67" s="241">
        <f>Adatbevitel!C199</f>
        <v>0</v>
      </c>
      <c r="F67" s="241">
        <f>Adatbevitel!D199</f>
        <v>0</v>
      </c>
      <c r="G67" s="242">
        <f>Adatbevitel!E199</f>
        <v>0</v>
      </c>
    </row>
    <row r="68" spans="1:7" ht="17.100000000000001" customHeight="1">
      <c r="A68" s="84" t="s">
        <v>383</v>
      </c>
      <c r="B68" s="509" t="str">
        <f>CHOOSE(Beszámoló!$F$2,Nyelv!B197,Nyelv!C197,Nyelv!D197,Nyelv!E197)</f>
        <v>18. Pénzügyi műveletek egyéb ráfordításai</v>
      </c>
      <c r="C68" s="509"/>
      <c r="D68" s="509"/>
      <c r="E68" s="241">
        <f>Adatbevitel!C200</f>
        <v>79488</v>
      </c>
      <c r="F68" s="241">
        <f>Adatbevitel!D200</f>
        <v>0</v>
      </c>
      <c r="G68" s="242">
        <f>Adatbevitel!E200</f>
        <v>25091</v>
      </c>
    </row>
    <row r="69" spans="1:7" ht="17.100000000000001" customHeight="1">
      <c r="A69" s="85" t="s">
        <v>384</v>
      </c>
      <c r="B69" s="494" t="str">
        <f>CHOOSE(Beszámoló!$F$2,Nyelv!B198,Nyelv!C198,Nyelv!D198,Nyelv!E198)</f>
        <v>Ebből: értékelési különbözet</v>
      </c>
      <c r="C69" s="494"/>
      <c r="D69" s="494"/>
      <c r="E69" s="241">
        <f>Adatbevitel!C201</f>
        <v>0</v>
      </c>
      <c r="F69" s="241">
        <f>Adatbevitel!D201</f>
        <v>0</v>
      </c>
      <c r="G69" s="242">
        <f>Adatbevitel!E201</f>
        <v>0</v>
      </c>
    </row>
    <row r="70" spans="1:7" ht="17.100000000000001" customHeight="1">
      <c r="A70" s="84" t="s">
        <v>385</v>
      </c>
      <c r="B70" s="502" t="str">
        <f>CHOOSE(Beszámoló!$F$2,Nyelv!B199,Nyelv!C199,Nyelv!D199,Nyelv!E199)</f>
        <v>VIII. PÉNZÜGYI MŰVELETEK RÁFORDÍTÁSAI (14+15+16+17+18)</v>
      </c>
      <c r="C70" s="502"/>
      <c r="D70" s="502"/>
      <c r="E70" s="229">
        <f>Adatbevitel!C202</f>
        <v>230044</v>
      </c>
      <c r="F70" s="229">
        <f>Adatbevitel!D202</f>
        <v>0</v>
      </c>
      <c r="G70" s="230">
        <f>Adatbevitel!E202</f>
        <v>205906</v>
      </c>
    </row>
    <row r="71" spans="1:7" ht="17.100000000000001" customHeight="1">
      <c r="A71" s="85" t="s">
        <v>386</v>
      </c>
      <c r="B71" s="502" t="str">
        <f>CHOOSE(Beszámoló!$F$2,Nyelv!B200,Nyelv!C200,Nyelv!D200,Nyelv!E200)</f>
        <v>B. PÉNZÜGYI MŰVELETEK EREDMÉNYE (VII-VIII)</v>
      </c>
      <c r="C71" s="502"/>
      <c r="D71" s="502"/>
      <c r="E71" s="229">
        <f>Adatbevitel!C203</f>
        <v>123590</v>
      </c>
      <c r="F71" s="229">
        <f>Adatbevitel!D203</f>
        <v>0</v>
      </c>
      <c r="G71" s="230">
        <f>Adatbevitel!E203</f>
        <v>58631</v>
      </c>
    </row>
    <row r="72" spans="1:7" ht="17.100000000000001" customHeight="1">
      <c r="A72" s="84" t="s">
        <v>387</v>
      </c>
      <c r="B72" s="502" t="str">
        <f>CHOOSE(Beszámoló!$F$2,Nyelv!B201,Nyelv!C201,Nyelv!D201,Nyelv!E201)</f>
        <v>C. ADÓZÁS ELŐTTI EREDMÉNY (±A±B)</v>
      </c>
      <c r="C72" s="502"/>
      <c r="D72" s="502"/>
      <c r="E72" s="229">
        <f>Adatbevitel!C204</f>
        <v>7315433</v>
      </c>
      <c r="F72" s="229">
        <f>Adatbevitel!D204</f>
        <v>0</v>
      </c>
      <c r="G72" s="230">
        <f>Adatbevitel!E204</f>
        <v>630629</v>
      </c>
    </row>
    <row r="73" spans="1:7" ht="17.100000000000001" customHeight="1">
      <c r="A73" s="85" t="s">
        <v>388</v>
      </c>
      <c r="B73" s="494" t="str">
        <f>CHOOSE(Beszámoló!$F$2,Nyelv!B202,Nyelv!C202,Nyelv!D202,Nyelv!E202)</f>
        <v>IX. Adófizetési kötelezettség</v>
      </c>
      <c r="C73" s="494"/>
      <c r="D73" s="494"/>
      <c r="E73" s="241">
        <f>Adatbevitel!C205</f>
        <v>145623</v>
      </c>
      <c r="F73" s="241">
        <f>Adatbevitel!D205</f>
        <v>0</v>
      </c>
      <c r="G73" s="242">
        <f>Adatbevitel!E205</f>
        <v>75806</v>
      </c>
    </row>
    <row r="74" spans="1:7" ht="17.100000000000001" customHeight="1">
      <c r="A74" s="84" t="s">
        <v>389</v>
      </c>
      <c r="B74" s="510" t="str">
        <f>CHOOSE(Beszámoló!$F$2,Nyelv!B203,Nyelv!C203,Nyelv!D203,Nyelv!E203)</f>
        <v>D. ADÓZOTT EREDMÉNY (±C-IX)”</v>
      </c>
      <c r="C74" s="510"/>
      <c r="D74" s="510"/>
      <c r="E74" s="229">
        <f>Adatbevitel!C206</f>
        <v>7169810</v>
      </c>
      <c r="F74" s="229">
        <f>Adatbevitel!D206</f>
        <v>0</v>
      </c>
      <c r="G74" s="230">
        <f>Adatbevitel!E206</f>
        <v>554823</v>
      </c>
    </row>
    <row r="75" spans="1:7" ht="12.75" customHeight="1">
      <c r="A75" s="64"/>
      <c r="B75" s="64"/>
      <c r="C75" s="64"/>
      <c r="D75" s="64"/>
      <c r="E75" s="64"/>
      <c r="F75" s="64"/>
      <c r="G75" s="64"/>
    </row>
    <row r="76" spans="1:7" ht="12.75" customHeight="1">
      <c r="A76" s="64"/>
      <c r="B76" s="64"/>
      <c r="C76" s="64"/>
      <c r="D76" s="64"/>
      <c r="E76" s="64"/>
      <c r="F76" s="64"/>
      <c r="G76" s="64"/>
    </row>
    <row r="77" spans="1:7" ht="12.75" customHeight="1">
      <c r="A77" s="64" t="str">
        <f xml:space="preserve"> Alapadatok!E12</f>
        <v>Veszprém, 2023. január 30</v>
      </c>
      <c r="B77" s="64"/>
      <c r="C77" s="64"/>
      <c r="D77" s="64"/>
      <c r="E77" s="64"/>
      <c r="F77" s="64"/>
      <c r="G77" s="64"/>
    </row>
    <row r="78" spans="1:7" ht="12.75" customHeight="1">
      <c r="A78" s="64"/>
      <c r="B78" s="64"/>
      <c r="C78" s="64"/>
      <c r="D78" s="64"/>
      <c r="E78" s="503" t="str">
        <f>IF(Beszámoló!$F$2=1,Nyelv_old!$E$7,IF(Beszámoló!$F$2=2,Nyelv_old!$F$7,IF(Beszámoló!$F$2=3,Nyelv_old!$G$7,Nyelv_old!$H$7)))</f>
        <v>a vállalkozás vezetője</v>
      </c>
      <c r="F78" s="503"/>
      <c r="G78" s="503"/>
    </row>
    <row r="79" spans="1:7" ht="12.75" customHeight="1">
      <c r="A79" s="64"/>
      <c r="B79" s="64"/>
      <c r="C79" s="64"/>
      <c r="D79" s="64"/>
      <c r="E79" s="505" t="str">
        <f>IF(Beszámoló!$F$2=1,Nyelv_old!$E$8,IF(Beszámoló!$F$2=2,Nyelv_old!$F$8,IF(Beszámoló!$F$2=3,Nyelv_old!$G$8,Nyelv_old!$H$8)))</f>
        <v>(képviselője)</v>
      </c>
      <c r="F79" s="505"/>
      <c r="G79" s="505"/>
    </row>
    <row r="80" spans="1:7" ht="12.95" customHeight="1"/>
  </sheetData>
  <sheetProtection selectLockedCells="1" selectUnlockedCells="1"/>
  <mergeCells count="70">
    <mergeCell ref="B73:D73"/>
    <mergeCell ref="B74:D74"/>
    <mergeCell ref="E78:G78"/>
    <mergeCell ref="E79:G79"/>
    <mergeCell ref="B67:D67"/>
    <mergeCell ref="B68:D68"/>
    <mergeCell ref="B69:D69"/>
    <mergeCell ref="B70:D70"/>
    <mergeCell ref="B71:D71"/>
    <mergeCell ref="B72:D72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54:D54"/>
    <mergeCell ref="A43:G43"/>
    <mergeCell ref="A44:G44"/>
    <mergeCell ref="A45:G45"/>
    <mergeCell ref="A46:B46"/>
    <mergeCell ref="F47:G47"/>
    <mergeCell ref="B48:D48"/>
    <mergeCell ref="B49:D49"/>
    <mergeCell ref="B50:D50"/>
    <mergeCell ref="B51:D51"/>
    <mergeCell ref="B52:D52"/>
    <mergeCell ref="B53:D53"/>
    <mergeCell ref="E34:G34"/>
    <mergeCell ref="A38:B38"/>
    <mergeCell ref="D38:G39"/>
    <mergeCell ref="A39:B39"/>
    <mergeCell ref="A41:B41"/>
    <mergeCell ref="F41:G41"/>
    <mergeCell ref="E33:G33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A7:G7"/>
    <mergeCell ref="A8:G8"/>
    <mergeCell ref="A9:B9"/>
    <mergeCell ref="F10:G10"/>
    <mergeCell ref="B11:D11"/>
    <mergeCell ref="B12:D12"/>
    <mergeCell ref="B13:D13"/>
    <mergeCell ref="B14:D14"/>
    <mergeCell ref="B15:D15"/>
    <mergeCell ref="B16:D16"/>
    <mergeCell ref="B17:D17"/>
    <mergeCell ref="A6:G6"/>
    <mergeCell ref="A1:B1"/>
    <mergeCell ref="D1:G2"/>
    <mergeCell ref="A2:B2"/>
    <mergeCell ref="A4:B4"/>
    <mergeCell ref="F4:G4"/>
  </mergeCells>
  <hyperlinks>
    <hyperlink ref="I1" location="Beszámoló!A1" display="Vissza a beszámolóhoz" xr:uid="{00000000-0004-0000-0800-000000000000}"/>
  </hyperlinks>
  <pageMargins left="0.78749999999999998" right="0.7874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16</vt:i4>
      </vt:variant>
    </vt:vector>
  </HeadingPairs>
  <TitlesOfParts>
    <vt:vector size="34" baseType="lpstr">
      <vt:lpstr>Alapadatok</vt:lpstr>
      <vt:lpstr>Adatbevitel</vt:lpstr>
      <vt:lpstr>Beszámoló</vt:lpstr>
      <vt:lpstr>Kieg. mell., elemzések</vt:lpstr>
      <vt:lpstr>Borító</vt:lpstr>
      <vt:lpstr>Ellenőr</vt:lpstr>
      <vt:lpstr>Mérleg</vt:lpstr>
      <vt:lpstr>ER-Összk</vt:lpstr>
      <vt:lpstr>ER-Forg</vt:lpstr>
      <vt:lpstr>Cash-flow </vt:lpstr>
      <vt:lpstr>MérlE_borító</vt:lpstr>
      <vt:lpstr>Mérl_Egysz</vt:lpstr>
      <vt:lpstr>Er-Ö_Egy</vt:lpstr>
      <vt:lpstr>Er-F_Egy</vt:lpstr>
      <vt:lpstr>Deviza_uj</vt:lpstr>
      <vt:lpstr>Hatidőn_túli</vt:lpstr>
      <vt:lpstr>Nyelv</vt:lpstr>
      <vt:lpstr>Nyelv_old</vt:lpstr>
      <vt:lpstr>'Kieg. mell., elemzések'!Nyomtatási_cím</vt:lpstr>
      <vt:lpstr>Adatbevitel!Nyomtatási_terület</vt:lpstr>
      <vt:lpstr>Alapadatok!Nyomtatási_terület</vt:lpstr>
      <vt:lpstr>Beszámoló!Nyomtatási_terület</vt:lpstr>
      <vt:lpstr>Borító!Nyomtatási_terület</vt:lpstr>
      <vt:lpstr>Deviza_uj!Nyomtatási_terület</vt:lpstr>
      <vt:lpstr>Ellenőr!Nyomtatási_terület</vt:lpstr>
      <vt:lpstr>'Er-F_Egy'!Nyomtatási_terület</vt:lpstr>
      <vt:lpstr>'ER-Forg'!Nyomtatási_terület</vt:lpstr>
      <vt:lpstr>'Er-Ö_Egy'!Nyomtatási_terület</vt:lpstr>
      <vt:lpstr>'ER-Összk'!Nyomtatási_terület</vt:lpstr>
      <vt:lpstr>Hatidőn_túli!Nyomtatási_terület</vt:lpstr>
      <vt:lpstr>'Kieg. mell., elemzések'!Nyomtatási_terület</vt:lpstr>
      <vt:lpstr>Mérl_Egysz!Nyomtatási_terület</vt:lpstr>
      <vt:lpstr>MérlE_borító!Nyomtatási_terület</vt:lpstr>
      <vt:lpstr>Mérleg!Nyomtatási_terület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Torma Szilvia</dc:creator>
  <cp:lastModifiedBy>Pristyák Edit</cp:lastModifiedBy>
  <cp:lastPrinted>2023-01-30T17:53:39Z</cp:lastPrinted>
  <dcterms:created xsi:type="dcterms:W3CDTF">2016-07-25T06:14:35Z</dcterms:created>
  <dcterms:modified xsi:type="dcterms:W3CDTF">2023-01-31T07:30:45Z</dcterms:modified>
</cp:coreProperties>
</file>